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375" windowWidth="20730" windowHeight="6105" activeTab="1"/>
  </bookViews>
  <sheets>
    <sheet name="Intro" sheetId="1" r:id="rId1"/>
    <sheet name="Data summary" sheetId="2" r:id="rId2"/>
    <sheet name="Data input" sheetId="3" r:id="rId3"/>
    <sheet name="Enteric fermentation" sheetId="4" r:id="rId4"/>
    <sheet name="Manure management" sheetId="5" r:id="rId5"/>
    <sheet name="Nitrous Oxide MMS" sheetId="6" r:id="rId6"/>
    <sheet name="Agricultural soils" sheetId="7" r:id="rId7"/>
    <sheet name="Trees" sheetId="8" r:id="rId8"/>
    <sheet name="Electicity &amp; Diesel" sheetId="9" r:id="rId9"/>
  </sheets>
  <definedNames>
    <definedName name="_xlnm.Print_Area" localSheetId="1">'Data summary'!$B$1:$P$34</definedName>
  </definedNames>
  <calcPr fullCalcOnLoad="1"/>
</workbook>
</file>

<file path=xl/comments3.xml><?xml version="1.0" encoding="utf-8"?>
<comments xmlns="http://schemas.openxmlformats.org/spreadsheetml/2006/main">
  <authors>
    <author>Dr Richard J Eckard</author>
    <author>Richard Eckard</author>
    <author>Seyda Ozkan</author>
  </authors>
  <commentList>
    <comment ref="B4" authorId="0">
      <text>
        <r>
          <rPr>
            <sz val="8"/>
            <rFont val="Tahoma"/>
            <family val="2"/>
          </rPr>
          <t>Insert the number of animals in each category in each season.</t>
        </r>
      </text>
    </comment>
    <comment ref="B10" authorId="0">
      <text>
        <r>
          <rPr>
            <sz val="8"/>
            <rFont val="Tahoma"/>
            <family val="2"/>
          </rPr>
          <t>Specify the average liveweight of your herd for each category in each season</t>
        </r>
      </text>
    </comment>
    <comment ref="B16" authorId="0">
      <text>
        <r>
          <rPr>
            <sz val="8"/>
            <rFont val="Tahoma"/>
            <family val="2"/>
          </rPr>
          <t>Insert the likely average daily liveweight gain for each class of animal in each season.</t>
        </r>
      </text>
    </comment>
    <comment ref="B28" authorId="1">
      <text>
        <r>
          <rPr>
            <sz val="8"/>
            <rFont val="Tahoma"/>
            <family val="2"/>
          </rPr>
          <t>Enter the dry matter digestibility (DMD) in the feed eaten, not on offer</t>
        </r>
      </text>
    </comment>
    <comment ref="D3" authorId="2">
      <text>
        <r>
          <rPr>
            <sz val="8"/>
            <rFont val="Tahoma"/>
            <family val="2"/>
          </rPr>
          <t xml:space="preserve"> bulls older that 1 year</t>
        </r>
      </text>
    </comment>
    <comment ref="E3" authorId="2">
      <text>
        <r>
          <rPr>
            <sz val="8"/>
            <rFont val="Tahoma"/>
            <family val="2"/>
          </rPr>
          <t>bulls younger that 1 year</t>
        </r>
      </text>
    </comment>
    <comment ref="F3" authorId="2">
      <text>
        <r>
          <rPr>
            <sz val="8"/>
            <rFont val="Tahoma"/>
            <family val="2"/>
          </rPr>
          <t>steers younger than 1 year</t>
        </r>
      </text>
    </comment>
    <comment ref="G3" authorId="2">
      <text>
        <r>
          <rPr>
            <sz val="8"/>
            <rFont val="Tahoma"/>
            <family val="2"/>
          </rPr>
          <t>cows between 1 and 2 years</t>
        </r>
      </text>
    </comment>
    <comment ref="H3" authorId="2">
      <text>
        <r>
          <rPr>
            <sz val="8"/>
            <rFont val="Tahoma"/>
            <family val="2"/>
          </rPr>
          <t>cows older than 2 years (breeding cows)</t>
        </r>
      </text>
    </comment>
    <comment ref="I3" authorId="2">
      <text>
        <r>
          <rPr>
            <sz val="8"/>
            <rFont val="Tahoma"/>
            <family val="2"/>
          </rPr>
          <t>heifers younger than 1 year</t>
        </r>
      </text>
    </comment>
    <comment ref="J3" authorId="2">
      <text>
        <r>
          <rPr>
            <sz val="8"/>
            <rFont val="Tahoma"/>
            <family val="2"/>
          </rPr>
          <t>steers older than 1 year</t>
        </r>
      </text>
    </comment>
    <comment ref="B22" authorId="2">
      <text>
        <r>
          <rPr>
            <sz val="8"/>
            <rFont val="Tahoma"/>
            <family val="2"/>
          </rPr>
          <t>Enter the CP in the feed eaten, not on offer</t>
        </r>
      </text>
    </comment>
    <comment ref="B35" authorId="2">
      <text>
        <r>
          <rPr>
            <sz val="8"/>
            <rFont val="Tahoma"/>
            <family val="2"/>
          </rPr>
          <t>Total area of pastures on the farm, that is not natural rangeland.</t>
        </r>
      </text>
    </comment>
    <comment ref="B34" authorId="2">
      <text>
        <r>
          <rPr>
            <sz val="8"/>
            <rFont val="Tahoma"/>
            <family val="2"/>
          </rPr>
          <t>The total area of land cultivated for cropping.</t>
        </r>
      </text>
    </comment>
    <comment ref="B37" authorId="2">
      <text>
        <r>
          <rPr>
            <sz val="8"/>
            <rFont val="Tahoma"/>
            <family val="2"/>
          </rPr>
          <t>Amount of Nitrogen fertiliser applied on crops (in kg N/ha) - remember that urea is 46%N and DAP is 18% N etc. i.e. 10 tonnes of urea = 10000*46/100 kg N</t>
        </r>
      </text>
    </comment>
    <comment ref="B49" authorId="2">
      <text>
        <r>
          <rPr>
            <sz val="8"/>
            <rFont val="Tahoma"/>
            <family val="2"/>
          </rPr>
          <t>How many litres of diesel did the farm use last year?</t>
        </r>
      </text>
    </comment>
    <comment ref="B50" authorId="2">
      <text>
        <r>
          <rPr>
            <sz val="8"/>
            <rFont val="Tahoma"/>
            <family val="2"/>
          </rPr>
          <t>What was your total annual electricity bill for the year in KWh?</t>
        </r>
      </text>
    </comment>
    <comment ref="B51" authorId="0">
      <text>
        <r>
          <rPr>
            <sz val="8"/>
            <rFont val="Tahoma"/>
            <family val="2"/>
          </rPr>
          <t>This allows for the evaluation of the carbon sequestration impact if planting trees on the farm. If you don't want this comparison, then set the area to zero.</t>
        </r>
      </text>
    </comment>
    <comment ref="H53" authorId="2">
      <text>
        <r>
          <rPr>
            <sz val="8"/>
            <rFont val="Tahoma"/>
            <family val="2"/>
          </rPr>
          <t xml:space="preserve">Enter the proportion of cows lactating
Note: This must correspond to the Feed Adjustment cells to the right. </t>
        </r>
      </text>
    </comment>
    <comment ref="N10" authorId="2">
      <text>
        <r>
          <rPr>
            <sz val="8"/>
            <rFont val="Tahoma"/>
            <family val="2"/>
          </rPr>
          <t>In the current methodology, it is considered that leaching occurs where Et/P &lt; 0.8 or Et/P &gt; 1 (See the map below). Regions outside these areas (orange zone) are considered to be 'dryland' and not subject to leaching.</t>
        </r>
      </text>
    </comment>
    <comment ref="N31" authorId="2">
      <text>
        <r>
          <rPr>
            <sz val="8"/>
            <rFont val="Tahoma"/>
            <family val="2"/>
          </rPr>
          <t>For example, if you are in Gippsland, it is most likely from Victorian Brown Coal. If you deliberately buy power from renewable sources or Green Power, then select the bottom option.
While electricity consumption is not a greenhouse emission at a farm level, it is important to include this to allow you to investigate the impact of increased power use such as for comparing spray irrigation against flood irrigation.</t>
        </r>
      </text>
    </comment>
    <comment ref="N34" authorId="2">
      <text>
        <r>
          <rPr>
            <sz val="8"/>
            <rFont val="Tahoma"/>
            <family val="2"/>
          </rPr>
          <t xml:space="preserve"> If they are not listed then choose the closest species, or just the general heading.</t>
        </r>
      </text>
    </comment>
    <comment ref="N37" authorId="2">
      <text>
        <r>
          <rPr>
            <sz val="8"/>
            <rFont val="Tahoma"/>
            <family val="2"/>
          </rPr>
          <t>Rainfall is just a general guide for the rate of tree growth.</t>
        </r>
      </text>
    </comment>
    <comment ref="B43" authorId="2">
      <text>
        <r>
          <rPr>
            <sz val="8"/>
            <rFont val="Tahoma"/>
            <family val="2"/>
          </rPr>
          <t>Amount of Nitrogen fertiliser applied on pastures (in kg N/ha) - remember that urea is 46%N and DAP is 18% N etc. i.e. 10 tonnes of urea = 10000*46/100 kg N</t>
        </r>
      </text>
    </comment>
    <comment ref="I1" authorId="2">
      <text>
        <r>
          <rPr>
            <sz val="8"/>
            <rFont val="Tahoma"/>
            <family val="2"/>
          </rPr>
          <t>Type the name of your farm</t>
        </r>
      </text>
    </comment>
    <comment ref="I53" authorId="1">
      <text>
        <r>
          <rPr>
            <b/>
            <sz val="9"/>
            <rFont val="Tahoma"/>
            <family val="2"/>
          </rPr>
          <t xml:space="preserve">The seasons when animals are lactating is taken from the inventory defaults. This is set when you choose the region at the top of this page.
NOTE: these numbers must align with the numbers in the left column. If not, then override the formulas using the data from the Table in cells AA2. </t>
        </r>
      </text>
    </comment>
    <comment ref="G53" authorId="1">
      <text>
        <r>
          <rPr>
            <b/>
            <sz val="9"/>
            <rFont val="Tahoma"/>
            <family val="2"/>
          </rPr>
          <t xml:space="preserve">Insert the milk intake of the calves. The defaults for this are:
- Southern beef: 6 litre/day in the first season and 4 in the next season.
- Northen beef:  4 litre/day in the first season and 3 in the next season.
Note: These must aling with the cells to the right where cows are lactating.
</t>
        </r>
      </text>
    </comment>
  </commentList>
</comments>
</file>

<file path=xl/comments7.xml><?xml version="1.0" encoding="utf-8"?>
<comments xmlns="http://schemas.openxmlformats.org/spreadsheetml/2006/main">
  <authors>
    <author>Seyda Ozkan</author>
  </authors>
  <commentList>
    <comment ref="L53" authorId="0">
      <text>
        <r>
          <rPr>
            <sz val="8"/>
            <rFont val="Tahoma"/>
            <family val="2"/>
          </rPr>
          <t>Does not apply to beef cattle</t>
        </r>
      </text>
    </comment>
    <comment ref="H135" authorId="0">
      <text>
        <r>
          <rPr>
            <sz val="8"/>
            <rFont val="Tahoma"/>
            <family val="2"/>
          </rPr>
          <t>considered in 'other' animal system for pasture range and paddock</t>
        </r>
      </text>
    </comment>
    <comment ref="D134" authorId="0">
      <text>
        <r>
          <rPr>
            <sz val="8"/>
            <rFont val="Tahoma"/>
            <family val="2"/>
          </rPr>
          <t>MMS = 100% voided at pasture</t>
        </r>
      </text>
    </comment>
    <comment ref="L173" authorId="0">
      <text>
        <r>
          <rPr>
            <sz val="8"/>
            <rFont val="Tahoma"/>
            <family val="2"/>
          </rPr>
          <t>For further information, please refer to the comment in data input page where Et/P ratio is questioned.</t>
        </r>
      </text>
    </comment>
    <comment ref="L22" authorId="0">
      <text>
        <r>
          <rPr>
            <sz val="8"/>
            <rFont val="Tahoma"/>
            <family val="2"/>
          </rPr>
          <t>considered 1 here</t>
        </r>
      </text>
    </comment>
  </commentList>
</comments>
</file>

<file path=xl/comments9.xml><?xml version="1.0" encoding="utf-8"?>
<comments xmlns="http://schemas.openxmlformats.org/spreadsheetml/2006/main">
  <authors>
    <author>Dr Richard J Eckard</author>
    <author>Seyda Ozkan</author>
  </authors>
  <commentList>
    <comment ref="B38" authorId="0">
      <text>
        <r>
          <rPr>
            <sz val="8"/>
            <rFont val="Tahoma"/>
            <family val="2"/>
          </rPr>
          <t>SO2 Emission factor = 0.37 Gg SO2/PJ</t>
        </r>
      </text>
    </comment>
    <comment ref="B39" authorId="0">
      <text>
        <r>
          <rPr>
            <sz val="8"/>
            <rFont val="Tahoma"/>
            <family val="2"/>
          </rPr>
          <t>SO2 Emission factor = 0.15 Gg SO2/PJ</t>
        </r>
      </text>
    </comment>
    <comment ref="C38" authorId="0">
      <text>
        <r>
          <rPr>
            <sz val="8"/>
            <rFont val="Tahoma"/>
            <family val="2"/>
          </rPr>
          <t>30% would be average</t>
        </r>
      </text>
    </comment>
    <comment ref="D38" authorId="0">
      <text>
        <r>
          <rPr>
            <sz val="8"/>
            <rFont val="Tahoma"/>
            <family val="2"/>
          </rPr>
          <t>1000 average</t>
        </r>
      </text>
    </comment>
    <comment ref="C39" authorId="0">
      <text>
        <r>
          <rPr>
            <sz val="8"/>
            <rFont val="Tahoma"/>
            <family val="2"/>
          </rPr>
          <t>25% average</t>
        </r>
      </text>
    </comment>
    <comment ref="D39" authorId="0">
      <text>
        <r>
          <rPr>
            <sz val="8"/>
            <rFont val="Tahoma"/>
            <family val="2"/>
          </rPr>
          <t>1400 average</t>
        </r>
      </text>
    </comment>
    <comment ref="H21" authorId="1">
      <text>
        <r>
          <rPr>
            <sz val="8"/>
            <rFont val="Tahoma"/>
            <family val="2"/>
          </rPr>
          <t>0.085 Gg SO2/PJ</t>
        </r>
      </text>
    </comment>
  </commentList>
</comments>
</file>

<file path=xl/sharedStrings.xml><?xml version="1.0" encoding="utf-8"?>
<sst xmlns="http://schemas.openxmlformats.org/spreadsheetml/2006/main" count="1020" uniqueCount="443">
  <si>
    <t>Live weight gain (LWG)</t>
  </si>
  <si>
    <t>LC and FA</t>
  </si>
  <si>
    <t>Choose your region in Australia</t>
  </si>
  <si>
    <t>Milk Intake</t>
  </si>
  <si>
    <t>Bulls&gt;1</t>
  </si>
  <si>
    <t>Cows1 to 2</t>
  </si>
  <si>
    <t>Cows&gt;2</t>
  </si>
  <si>
    <t>Herd Information</t>
  </si>
  <si>
    <t>Fertiliser</t>
  </si>
  <si>
    <t>Emission factor</t>
  </si>
  <si>
    <t>Animal waste</t>
  </si>
  <si>
    <t>Livestock Numbers</t>
  </si>
  <si>
    <t>litres/year</t>
  </si>
  <si>
    <t>KWh</t>
  </si>
  <si>
    <t>Annual Diesel Consumption</t>
  </si>
  <si>
    <t>CO</t>
  </si>
  <si>
    <t>NMVOC</t>
  </si>
  <si>
    <t>NOx</t>
  </si>
  <si>
    <t>Outputs</t>
  </si>
  <si>
    <t>Energy - Fuel and Electricity</t>
  </si>
  <si>
    <t>Farm Name</t>
  </si>
  <si>
    <t>Area cropped</t>
  </si>
  <si>
    <t>Area Improved Pasture</t>
  </si>
  <si>
    <t>ha</t>
  </si>
  <si>
    <t>Power Source</t>
  </si>
  <si>
    <t xml:space="preserve">Black Coal </t>
  </si>
  <si>
    <t xml:space="preserve">Brown Coal-Victorian </t>
  </si>
  <si>
    <t xml:space="preserve">Brown Coal-Sth Australian </t>
  </si>
  <si>
    <t xml:space="preserve">Natural Gas-Steam </t>
  </si>
  <si>
    <t xml:space="preserve">Diesel </t>
  </si>
  <si>
    <t>kg N/ year</t>
  </si>
  <si>
    <t>Summary</t>
  </si>
  <si>
    <t>Spring</t>
  </si>
  <si>
    <t>Summer</t>
  </si>
  <si>
    <t>Autumn</t>
  </si>
  <si>
    <t>Winter</t>
  </si>
  <si>
    <t>Average</t>
  </si>
  <si>
    <t>Feed Intake (I)</t>
  </si>
  <si>
    <t>High</t>
  </si>
  <si>
    <t>Med-High</t>
  </si>
  <si>
    <t>Med</t>
  </si>
  <si>
    <t>Med-Low</t>
  </si>
  <si>
    <t>Low</t>
  </si>
  <si>
    <t>Carbon sequestration potential of trees</t>
  </si>
  <si>
    <t>Pinus Radiata - Pine</t>
  </si>
  <si>
    <t>Eucalyptus globulus - Blue gum</t>
  </si>
  <si>
    <t>Eucalyptus saligna - Sydney blue gum</t>
  </si>
  <si>
    <t>Eucalyptus grandis - Rose gum</t>
  </si>
  <si>
    <t>Comybia maculata - Spotted gum</t>
  </si>
  <si>
    <t>Acacia melanoxylon - Blackwood</t>
  </si>
  <si>
    <t>Eucalyptus camaldulensis - River red gum</t>
  </si>
  <si>
    <t>Eucalyptus sideroxylon - Ironbark</t>
  </si>
  <si>
    <t>Eucalyptus cladocalyx - Sugar gum</t>
  </si>
  <si>
    <t>Casuarina cunninghamiana - She oak</t>
  </si>
  <si>
    <t>Rainfall</t>
  </si>
  <si>
    <t>from</t>
  </si>
  <si>
    <t>to</t>
  </si>
  <si>
    <t>mm/yr</t>
  </si>
  <si>
    <t>m3/ha/yr</t>
  </si>
  <si>
    <t>dry-tonne/ m3</t>
  </si>
  <si>
    <t>weight</t>
  </si>
  <si>
    <t>C content</t>
  </si>
  <si>
    <t>t CO2e/ha</t>
  </si>
  <si>
    <r>
      <t xml:space="preserve">     - Carbon dioxide (CO</t>
    </r>
    <r>
      <rPr>
        <u val="single"/>
        <vertAlign val="subscript"/>
        <sz val="14"/>
        <color indexed="12"/>
        <rFont val="Times New Roman"/>
        <family val="1"/>
      </rPr>
      <t>2</t>
    </r>
    <r>
      <rPr>
        <u val="single"/>
        <sz val="14"/>
        <color indexed="12"/>
        <rFont val="Times New Roman"/>
        <family val="1"/>
      </rPr>
      <t>)</t>
    </r>
  </si>
  <si>
    <t>Liveweight</t>
  </si>
  <si>
    <t>Season</t>
  </si>
  <si>
    <t>Area of Trees Planted after 1990</t>
  </si>
  <si>
    <t>Type of Trees planted</t>
  </si>
  <si>
    <t>hectares</t>
  </si>
  <si>
    <t>Tree plantings (after 1990)</t>
  </si>
  <si>
    <t>Rainfall Selection</t>
  </si>
  <si>
    <t>High (&gt;700)</t>
  </si>
  <si>
    <t>Low (&lt;500)</t>
  </si>
  <si>
    <t>Med (500 - 700)</t>
  </si>
  <si>
    <t>Results</t>
  </si>
  <si>
    <t>Hydro or other clean Power</t>
  </si>
  <si>
    <t>Natural Gas-Turbine</t>
  </si>
  <si>
    <t>Cogen -Oil fired steam</t>
  </si>
  <si>
    <t>Annual Electricity Use</t>
  </si>
  <si>
    <t>Introduction</t>
  </si>
  <si>
    <t>Net Farm Emissions</t>
  </si>
  <si>
    <r>
      <t>Nitrous oxide (N</t>
    </r>
    <r>
      <rPr>
        <b/>
        <vertAlign val="subscript"/>
        <sz val="14"/>
        <rFont val="Times New Roman"/>
        <family val="1"/>
      </rPr>
      <t>2</t>
    </r>
    <r>
      <rPr>
        <b/>
        <sz val="14"/>
        <rFont val="Times New Roman"/>
        <family val="1"/>
      </rPr>
      <t>O)</t>
    </r>
  </si>
  <si>
    <r>
      <t>Carbon dioxide (CO</t>
    </r>
    <r>
      <rPr>
        <b/>
        <vertAlign val="subscript"/>
        <sz val="14"/>
        <rFont val="Times New Roman"/>
        <family val="1"/>
      </rPr>
      <t>2</t>
    </r>
    <r>
      <rPr>
        <b/>
        <sz val="14"/>
        <rFont val="Times New Roman"/>
        <family val="1"/>
      </rPr>
      <t>)</t>
    </r>
  </si>
  <si>
    <r>
      <t>Methane (CH</t>
    </r>
    <r>
      <rPr>
        <b/>
        <vertAlign val="subscript"/>
        <sz val="14"/>
        <rFont val="Times New Roman"/>
        <family val="1"/>
      </rPr>
      <t>4</t>
    </r>
    <r>
      <rPr>
        <b/>
        <sz val="14"/>
        <rFont val="Times New Roman"/>
        <family val="1"/>
      </rPr>
      <t>)</t>
    </r>
  </si>
  <si>
    <r>
      <t xml:space="preserve">     - Methane (CH</t>
    </r>
    <r>
      <rPr>
        <u val="single"/>
        <vertAlign val="subscript"/>
        <sz val="14"/>
        <color indexed="12"/>
        <rFont val="Times New Roman"/>
        <family val="1"/>
      </rPr>
      <t>4</t>
    </r>
    <r>
      <rPr>
        <u val="single"/>
        <sz val="14"/>
        <color indexed="12"/>
        <rFont val="Times New Roman"/>
        <family val="1"/>
      </rPr>
      <t>)</t>
    </r>
  </si>
  <si>
    <r>
      <t xml:space="preserve">     - Nitrous oxide (N</t>
    </r>
    <r>
      <rPr>
        <u val="single"/>
        <vertAlign val="subscript"/>
        <sz val="14"/>
        <color indexed="12"/>
        <rFont val="Times New Roman"/>
        <family val="1"/>
      </rPr>
      <t>2</t>
    </r>
    <r>
      <rPr>
        <u val="single"/>
        <sz val="14"/>
        <color indexed="12"/>
        <rFont val="Times New Roman"/>
        <family val="1"/>
      </rPr>
      <t>O)</t>
    </r>
  </si>
  <si>
    <t>Total</t>
  </si>
  <si>
    <t>Live weight gain</t>
  </si>
  <si>
    <t>%</t>
  </si>
  <si>
    <t>Crude Protein</t>
  </si>
  <si>
    <t>kg/head/day</t>
  </si>
  <si>
    <t>Methane emissions from rumen fermentation</t>
  </si>
  <si>
    <t>Enter your farm data for each animal class and season</t>
  </si>
  <si>
    <t>Joe Bloggs</t>
  </si>
  <si>
    <t>Bulls &gt;1</t>
  </si>
  <si>
    <t>Bulls&lt;1</t>
  </si>
  <si>
    <t>Steers&lt;1</t>
  </si>
  <si>
    <t>Cows 1 to 2</t>
  </si>
  <si>
    <t>Cows &gt;2</t>
  </si>
  <si>
    <t>Cows&lt;1</t>
  </si>
  <si>
    <t>Steers&gt;1</t>
  </si>
  <si>
    <t>State</t>
  </si>
  <si>
    <t>Region</t>
  </si>
  <si>
    <t>NSW/ACT</t>
  </si>
  <si>
    <t>Pilbara</t>
  </si>
  <si>
    <t>Kimberley</t>
  </si>
  <si>
    <t>SA</t>
  </si>
  <si>
    <t>TAS</t>
  </si>
  <si>
    <t>VIC</t>
  </si>
  <si>
    <t>QLD</t>
  </si>
  <si>
    <t>NT</t>
  </si>
  <si>
    <t>Units</t>
  </si>
  <si>
    <t>Data Input</t>
  </si>
  <si>
    <t>Methane Calculation</t>
  </si>
  <si>
    <t>MA = (LC x FA)  + ((1-LC) x 1)</t>
  </si>
  <si>
    <t>GEI = (I x 18.4)</t>
  </si>
  <si>
    <t>MJ/head/day</t>
  </si>
  <si>
    <t>% gross energy intake as methane</t>
  </si>
  <si>
    <t>M = Y / 100 x GEI / F</t>
  </si>
  <si>
    <t>Temperate/tropical</t>
  </si>
  <si>
    <t>Nitrogen Fertiliser Pasture</t>
  </si>
  <si>
    <t>Nitrogen Fertiliser Crops</t>
  </si>
  <si>
    <t>N Fertiliser Pastures</t>
  </si>
  <si>
    <t>Eucalyptus nitens - Shining gum</t>
  </si>
  <si>
    <t>Warm</t>
  </si>
  <si>
    <t>Cool</t>
  </si>
  <si>
    <t>Grand total</t>
  </si>
  <si>
    <t>Methane emissions from manure in the field</t>
  </si>
  <si>
    <t>Enter Y or N</t>
  </si>
  <si>
    <t>Is your property in orange zone below?</t>
  </si>
  <si>
    <t>The model is based on the Australian National Greenhouse Gas Inventory method, as published on the Australian Government Department of Climate Change and Energy Efficiency in April 2012. For more information, click on the link below:</t>
  </si>
  <si>
    <t>http://www.climatechange.gov.au/en/publications/greenhouse-acctg/~/media/publications/greenhouse-acctg/NationalInventoryReport-2010-Vol-1.pdf</t>
  </si>
  <si>
    <t xml:space="preserve">Methane emissions from livestock systems are considered as energy loss in the system. This means that if they are not released from the animal body, they can be re-gained in animal products such as milk and meat, leading to improved productivity. The main factors affecting methane production are feed type and quality, level of feed intake, and type, sex and  age of the animal. Enteric methane production is minimised by feeding high quality forages (perennial ryegrass/white clover pasture), particularly where the protein to energy ratio in the ration has been balanced through supplementary feeding strategies. Any mitigation strategy, however, according to the current policy requirements (Carbon Farming Initiative, CFI 2010), must lead to reduced emissions beyond what is common practice in a sector. For other policy requirements and more information, visit Australian Government Department of Climate Change and Energy Efficiency website or refer to CFI consultation paper.                                                                                                                                                                                                                                                                                                            
</t>
  </si>
  <si>
    <r>
      <t xml:space="preserve">Strategies to reduce enteric methane production include:
</t>
    </r>
    <r>
      <rPr>
        <b/>
        <sz val="14"/>
        <rFont val="Times New Roman"/>
        <family val="1"/>
      </rPr>
      <t xml:space="preserve">1. Animal manipulation : </t>
    </r>
    <r>
      <rPr>
        <sz val="14"/>
        <rFont val="Times New Roman"/>
        <family val="1"/>
      </rPr>
      <t xml:space="preserve">Breeding animals with greater feed-conversion efficiency may reduce CH4 emissions from cows.
</t>
    </r>
  </si>
  <si>
    <r>
      <rPr>
        <b/>
        <sz val="14"/>
        <rFont val="Times New Roman"/>
        <family val="1"/>
      </rPr>
      <t xml:space="preserve">2. Diet manipulation : </t>
    </r>
    <r>
      <rPr>
        <sz val="14"/>
        <rFont val="Times New Roman"/>
        <family val="1"/>
      </rPr>
      <t>Higher amount of forage to concentrate ratio determines a higher amount of acetate to propionate ratio and therefore higher CH4 productions. Dietary fats are used to reduce CH4 emissions. Addition of fat is limited to 6-7% of the dietary dry matter (DM) in order not to cause reductions in DM intake (DMI). Note that it is not widely acknowledged whether the reductions via fat supplementation are permanent over the whole production period</t>
    </r>
  </si>
  <si>
    <t xml:space="preserve">     - Direct emissions from N fertiliser application (both synthetic and organic), and animal waste deposition (faeces and urine), and</t>
  </si>
  <si>
    <t xml:space="preserve">     - Indirect emissions from ammonia volatilisation and nitrate leaching &amp; runoff</t>
  </si>
  <si>
    <t>Farmers should consider strategic fertiliser management practices in order to reduce or maintain their total N2O emissions. It is important to remember that responses to N fertiliser will vary according to season and the fertiliser application rate. N fertiliser should only be applied when the pasture is actively growing and can utilise the N. A moderate level of N fertiliser application is recommended to be around 50 kg N/ha in any single application. The optimum time to apply N fertiliser is usually the period from grazing up to a maximum two weeks after grazing. Some of the factors that limit the pasture growth rate and sward quality and therefore reduce the responses to N fertiliser are soil type, low soil fertility, cold and excessively wet or dry weather conditions.</t>
  </si>
  <si>
    <t>Planting trees and carbon sequestration</t>
  </si>
  <si>
    <t xml:space="preserve">To allow users to explore the value of planting trees, an option is included in the model to choose the type of trees and the rainfall zone, with the total carbon removed by trees being subtracted off the farm greenhouse gas emission total. Remember, this is a guide only, as actual tree growth depends on the local growing conditions and the carbon sequestered varies with the age of the plantation. </t>
  </si>
  <si>
    <t xml:space="preserve">Methane is the major GHG produced at beef farms and is primarily sourced from:
1. Enteric fermentation and
2. Manure management.  
</t>
  </si>
  <si>
    <r>
      <t>Direct CO</t>
    </r>
    <r>
      <rPr>
        <vertAlign val="subscript"/>
        <sz val="14"/>
        <rFont val="Times New Roman"/>
        <family val="1"/>
      </rPr>
      <t>2</t>
    </r>
    <r>
      <rPr>
        <sz val="14"/>
        <rFont val="Times New Roman"/>
        <family val="1"/>
      </rPr>
      <t xml:space="preserve"> emissions from beef farms are mainly sourced from diesel and electricity consumption.</t>
    </r>
  </si>
  <si>
    <r>
      <t>CO</t>
    </r>
    <r>
      <rPr>
        <vertAlign val="subscript"/>
        <sz val="11"/>
        <rFont val="Times New Roman"/>
        <family val="1"/>
      </rPr>
      <t>2</t>
    </r>
    <r>
      <rPr>
        <sz val="11"/>
        <rFont val="Times New Roman"/>
        <family val="1"/>
      </rPr>
      <t xml:space="preserve"> -Energy</t>
    </r>
  </si>
  <si>
    <r>
      <t>CO</t>
    </r>
    <r>
      <rPr>
        <vertAlign val="subscript"/>
        <sz val="11"/>
        <rFont val="Times New Roman"/>
        <family val="1"/>
      </rPr>
      <t>2</t>
    </r>
  </si>
  <si>
    <r>
      <t>CH</t>
    </r>
    <r>
      <rPr>
        <vertAlign val="subscript"/>
        <sz val="11"/>
        <rFont val="Times New Roman"/>
        <family val="1"/>
      </rPr>
      <t>4</t>
    </r>
    <r>
      <rPr>
        <sz val="11"/>
        <rFont val="Times New Roman"/>
        <family val="1"/>
      </rPr>
      <t xml:space="preserve"> - Enteric</t>
    </r>
  </si>
  <si>
    <r>
      <t>CH</t>
    </r>
    <r>
      <rPr>
        <vertAlign val="subscript"/>
        <sz val="11"/>
        <rFont val="Times New Roman"/>
        <family val="1"/>
      </rPr>
      <t>4</t>
    </r>
  </si>
  <si>
    <r>
      <t>CH</t>
    </r>
    <r>
      <rPr>
        <vertAlign val="subscript"/>
        <sz val="11"/>
        <rFont val="Times New Roman"/>
        <family val="1"/>
      </rPr>
      <t>4</t>
    </r>
    <r>
      <rPr>
        <sz val="11"/>
        <rFont val="Times New Roman"/>
        <family val="1"/>
      </rPr>
      <t xml:space="preserve"> - Manure</t>
    </r>
  </si>
  <si>
    <r>
      <t>N</t>
    </r>
    <r>
      <rPr>
        <vertAlign val="subscript"/>
        <sz val="11"/>
        <rFont val="Times New Roman"/>
        <family val="1"/>
      </rPr>
      <t>2</t>
    </r>
    <r>
      <rPr>
        <sz val="11"/>
        <rFont val="Times New Roman"/>
        <family val="1"/>
      </rPr>
      <t>O</t>
    </r>
  </si>
  <si>
    <r>
      <t>N</t>
    </r>
    <r>
      <rPr>
        <vertAlign val="subscript"/>
        <sz val="11"/>
        <rFont val="Times New Roman"/>
        <family val="1"/>
      </rPr>
      <t>2</t>
    </r>
    <r>
      <rPr>
        <sz val="11"/>
        <rFont val="Times New Roman"/>
        <family val="1"/>
      </rPr>
      <t>O - N Fertiliser</t>
    </r>
  </si>
  <si>
    <r>
      <t>N</t>
    </r>
    <r>
      <rPr>
        <vertAlign val="subscript"/>
        <sz val="11"/>
        <rFont val="Times New Roman"/>
        <family val="1"/>
      </rPr>
      <t>2</t>
    </r>
    <r>
      <rPr>
        <sz val="11"/>
        <rFont val="Times New Roman"/>
        <family val="1"/>
      </rPr>
      <t>O - Indirect</t>
    </r>
  </si>
  <si>
    <r>
      <t>N</t>
    </r>
    <r>
      <rPr>
        <vertAlign val="subscript"/>
        <sz val="11"/>
        <rFont val="Times New Roman"/>
        <family val="1"/>
      </rPr>
      <t>2</t>
    </r>
    <r>
      <rPr>
        <sz val="11"/>
        <rFont val="Times New Roman"/>
        <family val="1"/>
      </rPr>
      <t>O - Dung, Urine</t>
    </r>
  </si>
  <si>
    <t>head</t>
  </si>
  <si>
    <t>kg</t>
  </si>
  <si>
    <t>kg/day</t>
  </si>
  <si>
    <t>Seasons</t>
  </si>
  <si>
    <t xml:space="preserve">Liveweight </t>
  </si>
  <si>
    <r>
      <t>I = (1.185 + 0.00454 x W - 0.0000026 x W^2 + 0.315 x LWG)^2</t>
    </r>
    <r>
      <rPr>
        <b/>
        <sz val="12"/>
        <rFont val="Times New Roman"/>
        <family val="1"/>
      </rPr>
      <t xml:space="preserve"> x MA</t>
    </r>
  </si>
  <si>
    <t>4A.1b_1</t>
  </si>
  <si>
    <t>kg DM/head/day</t>
  </si>
  <si>
    <t>Additional intake for milk production (MA)</t>
  </si>
  <si>
    <t>4A.1b_2</t>
  </si>
  <si>
    <t>LC = proportions of cows &gt; 2 lactating</t>
  </si>
  <si>
    <t>FA = feed adjustment</t>
  </si>
  <si>
    <t>Appendix 6.B.5</t>
  </si>
  <si>
    <t>Proportion of cows (LC)</t>
  </si>
  <si>
    <t>Feed adjustment (FA)</t>
  </si>
  <si>
    <t>Gross Energy Intake (GEI)</t>
  </si>
  <si>
    <t>4A.1b_3</t>
  </si>
  <si>
    <t>Intake relative to maintenance (L)</t>
  </si>
  <si>
    <t>4A.1b_4</t>
  </si>
  <si>
    <t>L = I / (1.185 + 0.00454 x W - 0.0000026 W^2 + (0.315 x 0))^2</t>
  </si>
  <si>
    <t>4A.1b_5</t>
  </si>
  <si>
    <t xml:space="preserve">Y = 1.3 + 0.112 x DMD + L x (2.37 - 0.050 x DMD) </t>
  </si>
  <si>
    <t>4A.1b_6a</t>
  </si>
  <si>
    <t>kg CH4/head/day</t>
  </si>
  <si>
    <t>Daily Methane Yield (Temperate pastures)</t>
  </si>
  <si>
    <t>Daily Methane Yield (Tropical pastures)</t>
  </si>
  <si>
    <t>M = (34.9 x I - 30.8) / 1000</t>
  </si>
  <si>
    <t>4A.1b_6b</t>
  </si>
  <si>
    <t xml:space="preserve">Daily Methane Yield </t>
  </si>
  <si>
    <t>4A.1b_8</t>
  </si>
  <si>
    <r>
      <t xml:space="preserve">E = </t>
    </r>
    <r>
      <rPr>
        <b/>
        <sz val="12"/>
        <rFont val="Times New Roman"/>
        <family val="1"/>
      </rPr>
      <t>(91.25 x N</t>
    </r>
    <r>
      <rPr>
        <b/>
        <vertAlign val="subscript"/>
        <sz val="12"/>
        <rFont val="Times New Roman"/>
        <family val="1"/>
      </rPr>
      <t>ijkl</t>
    </r>
    <r>
      <rPr>
        <b/>
        <sz val="12"/>
        <rFont val="Times New Roman"/>
        <family val="1"/>
      </rPr>
      <t xml:space="preserve"> x M</t>
    </r>
    <r>
      <rPr>
        <b/>
        <vertAlign val="subscript"/>
        <sz val="12"/>
        <rFont val="Times New Roman"/>
        <family val="1"/>
      </rPr>
      <t>ijkl</t>
    </r>
    <r>
      <rPr>
        <b/>
        <sz val="12"/>
        <rFont val="Times New Roman"/>
        <family val="1"/>
      </rPr>
      <t xml:space="preserve"> ) x 10</t>
    </r>
    <r>
      <rPr>
        <b/>
        <vertAlign val="superscript"/>
        <sz val="12"/>
        <rFont val="Times New Roman"/>
        <family val="1"/>
      </rPr>
      <t>-6</t>
    </r>
  </si>
  <si>
    <t>Gg CH4/farm/season</t>
  </si>
  <si>
    <t>Gg CH4/farm/year</t>
  </si>
  <si>
    <t>Gg CO2-e/farm/year</t>
  </si>
  <si>
    <t>t CO2-e/farm/year</t>
  </si>
  <si>
    <t>Methane production from manure</t>
  </si>
  <si>
    <t>M = I x (1 - DMD) x MEF</t>
  </si>
  <si>
    <t>Methane emission factor (MEF)</t>
  </si>
  <si>
    <t>Total CH4 production</t>
  </si>
  <si>
    <t>Total CH4 emissions from manure of free-range beef cattle</t>
  </si>
  <si>
    <t>E = (N x M x 91.25) x 10^-6</t>
  </si>
  <si>
    <t>4B.1b_1</t>
  </si>
  <si>
    <t>4B.1b_2</t>
  </si>
  <si>
    <t>Data input</t>
  </si>
  <si>
    <t>Crude protein (CP) content of feed</t>
  </si>
  <si>
    <t>Faecal nitrous oxide calculation</t>
  </si>
  <si>
    <t>4B.1b_3</t>
  </si>
  <si>
    <t>CPI = I x CP + (0.032 x MC)</t>
  </si>
  <si>
    <t>Crude protein intake (CPI) of beef cattle</t>
  </si>
  <si>
    <t>Nitrogen excreted in faeces (F)</t>
  </si>
  <si>
    <t>4B.1b_4</t>
  </si>
  <si>
    <t>ME from DMD</t>
  </si>
  <si>
    <t>MJ/kg DM</t>
  </si>
  <si>
    <t>F = {0.3 x (CPI x (1 - [(DMD + 10) / 100])) + 0.105 x (ME x I x 0.008) + 0.08 x (0.032 x MC) + (0.0152 x I)} / 6.25</t>
  </si>
  <si>
    <t>Nitrogen Retained by the body (NR)</t>
  </si>
  <si>
    <t>NR = {(0.032 x MP) + {0.212 - 0.008 x (L - 2) - [(0.140 - 0.008 x (L - 2)) / (1 + exp x (-6 x (Z -0.4)))]} x (LWG x 0.92)} / 6.25</t>
  </si>
  <si>
    <t>4B.1b_5</t>
  </si>
  <si>
    <t>Beef cattle reference weight to calculate relative size (Z)</t>
  </si>
  <si>
    <t>Tasmania</t>
  </si>
  <si>
    <t>WA</t>
  </si>
  <si>
    <t>Victoria</t>
  </si>
  <si>
    <t>Queensland</t>
  </si>
  <si>
    <t>Milk production (MP)</t>
  </si>
  <si>
    <t>Relative size (Z)</t>
  </si>
  <si>
    <t>Table 6.B.6</t>
  </si>
  <si>
    <t>Nitrogen excreted in urine (U)</t>
  </si>
  <si>
    <t>4B.1B_6</t>
  </si>
  <si>
    <t>U = (CPI / 6.25) - NR - F - [(1.1 x 10^-4 x W^0.75) / 6.25]</t>
  </si>
  <si>
    <t xml:space="preserve">Total seasonal faecal (AF) nitrogen excreted </t>
  </si>
  <si>
    <t>AF = ∑ (91.25 x N x F) x 10^-6</t>
  </si>
  <si>
    <t>Total seasonal urinary (AU) nitrogen excreted</t>
  </si>
  <si>
    <t>AU = ∑ (91.25 x N x U) x 10^-6</t>
  </si>
  <si>
    <t>Seasonal faecal and urinary nitrogen excreted (AE)</t>
  </si>
  <si>
    <t>AE =AF + AU</t>
  </si>
  <si>
    <t>Gg/farm/season</t>
  </si>
  <si>
    <t>The total emissions of nitrous oxide from different manure management systems (Total MMS)</t>
  </si>
  <si>
    <t>E = AE x MMS x EF x Cg</t>
  </si>
  <si>
    <t>Table 6.12</t>
  </si>
  <si>
    <t>N2O-N kg/N excreted</t>
  </si>
  <si>
    <t>EF = 0</t>
  </si>
  <si>
    <t>Factor to convert elemental mass of N2O to molecular mass (Cg)</t>
  </si>
  <si>
    <t>Gg N2O/farm/season</t>
  </si>
  <si>
    <t>4B.1b_8c</t>
  </si>
  <si>
    <t>4B.1b_7a</t>
  </si>
  <si>
    <t>4B.1b_7b</t>
  </si>
  <si>
    <t>MMS = 100% (in the case of beef cattle, all manure is voided at pasture)</t>
  </si>
  <si>
    <t>MMS = 8 Pasture range and paddock</t>
  </si>
  <si>
    <t xml:space="preserve">Grand total </t>
  </si>
  <si>
    <t>Gg N2O/farm/year</t>
  </si>
  <si>
    <t>Nitrous Oxide production from different manure management systems (MMS)</t>
  </si>
  <si>
    <t>Nitrous Oxide production from agricultural soils</t>
  </si>
  <si>
    <t>N2O emissions from synthetic fertiliser</t>
  </si>
  <si>
    <t>kg N/season</t>
  </si>
  <si>
    <t>Mass of fertiliser appplied (M)</t>
  </si>
  <si>
    <t>M = TM x FN</t>
  </si>
  <si>
    <t>TM = total mass of fertiliser</t>
  </si>
  <si>
    <t>FN = fraction of N applied to production system</t>
  </si>
  <si>
    <t>4D1_1</t>
  </si>
  <si>
    <t>Appendix 6.H.1</t>
  </si>
  <si>
    <t>N Fertiliser crops</t>
  </si>
  <si>
    <t>Gg N/season</t>
  </si>
  <si>
    <t>Annual N2O emissions from the addition of synthetic fertiliser (E)</t>
  </si>
  <si>
    <t>E = (M x EF x Cg)</t>
  </si>
  <si>
    <t>4D1_2</t>
  </si>
  <si>
    <t>EF = Emission factor</t>
  </si>
  <si>
    <t>Gg N2O-N/Gg N</t>
  </si>
  <si>
    <t>Table 6.22</t>
  </si>
  <si>
    <t>Production system</t>
  </si>
  <si>
    <t>Irrigated pasture</t>
  </si>
  <si>
    <t>Irrigated crop</t>
  </si>
  <si>
    <t>Non-irrigated pasture</t>
  </si>
  <si>
    <t>Non-irrigated crop</t>
  </si>
  <si>
    <t>Sugar cane</t>
  </si>
  <si>
    <t>Cotton</t>
  </si>
  <si>
    <t>Horticulture</t>
  </si>
  <si>
    <t>Gg N2O/season</t>
  </si>
  <si>
    <t>Grand total from fertiliser application</t>
  </si>
  <si>
    <t>Gg N2O/year</t>
  </si>
  <si>
    <t>N2O emissions from animal waste (manure) applied to soils</t>
  </si>
  <si>
    <t>The nitrogen content of animal manure applied to agricultural soils</t>
  </si>
  <si>
    <t>N2O emissions from animal waste (manure)</t>
  </si>
  <si>
    <t>E = MN soil x EF x Cg</t>
  </si>
  <si>
    <t>4D1_4</t>
  </si>
  <si>
    <t>Biological nitrogen fixation</t>
  </si>
  <si>
    <t>M = P x R x DM x CC x NC</t>
  </si>
  <si>
    <t>4D1_5</t>
  </si>
  <si>
    <t>M = mass of N fixed by crops and pastures</t>
  </si>
  <si>
    <t>Gg N</t>
  </si>
  <si>
    <t>Not used currently</t>
  </si>
  <si>
    <t>P = annual production of crop</t>
  </si>
  <si>
    <t>Gg</t>
  </si>
  <si>
    <t>R = residue to crop ratio</t>
  </si>
  <si>
    <t>kg crop residue/kg crop</t>
  </si>
  <si>
    <t xml:space="preserve">DM = dry matter content </t>
  </si>
  <si>
    <t>kg dry weight/kg crop residue</t>
  </si>
  <si>
    <t>CC = mass fraction of carbon in crop residue</t>
  </si>
  <si>
    <t>NC = nitrogen to carbon ratio in crop residue</t>
  </si>
  <si>
    <t>Annual N2O production from N fixing crops</t>
  </si>
  <si>
    <t>E = M x EF x Cg</t>
  </si>
  <si>
    <t>Gg N2O</t>
  </si>
  <si>
    <t>4D1_6</t>
  </si>
  <si>
    <t>EF = 0.0125</t>
  </si>
  <si>
    <t>The application of crop residues</t>
  </si>
  <si>
    <t xml:space="preserve">The mass of N in crop residues returned to soils </t>
  </si>
  <si>
    <t>M = P x R x DM x CC x NC x (1- F - FFOD)</t>
  </si>
  <si>
    <t>4D1_7</t>
  </si>
  <si>
    <t>M = mass of N in crop residues</t>
  </si>
  <si>
    <t>F = fraction of the crop that is burnt</t>
  </si>
  <si>
    <t>FFOD = fraction of the crop that is removed</t>
  </si>
  <si>
    <t xml:space="preserve">Annual N2O production from crop residues </t>
  </si>
  <si>
    <t>4D1_8</t>
  </si>
  <si>
    <t>Annual N2O production from cultivation of histosols</t>
  </si>
  <si>
    <t>E = A x EF x Cg x 10^-6</t>
  </si>
  <si>
    <t>4D1_9</t>
  </si>
  <si>
    <t xml:space="preserve">A = area of cultivated histosols </t>
  </si>
  <si>
    <t>EF = 8</t>
  </si>
  <si>
    <t>kg N2O-N/ha</t>
  </si>
  <si>
    <t>Animal production</t>
  </si>
  <si>
    <t>The faecal and urinary nitrogen excreted on pasture and paddock</t>
  </si>
  <si>
    <t>4D2</t>
  </si>
  <si>
    <t>FN soil = AF x MMS</t>
  </si>
  <si>
    <t>4D2_1</t>
  </si>
  <si>
    <t>UN soil = AU x MMS</t>
  </si>
  <si>
    <t>4D2_2</t>
  </si>
  <si>
    <t>Total N2O production from animal waste voided in the field by grazing livestock</t>
  </si>
  <si>
    <t>E = (FN soil x EF x Cg) + (UN soil x EF x Cg)</t>
  </si>
  <si>
    <t>Total N2O emissions from manure, faeces and urine</t>
  </si>
  <si>
    <t>4D1_3</t>
  </si>
  <si>
    <t>SW</t>
  </si>
  <si>
    <t>Proportion of cows lactating</t>
  </si>
  <si>
    <t>MN soil = ((AE x MMS) - (E / Cg) - MNatm</t>
  </si>
  <si>
    <t>MN soil</t>
  </si>
  <si>
    <t>4D2_3</t>
  </si>
  <si>
    <t>Atmospheric nitrogen deposition</t>
  </si>
  <si>
    <t>M = TM x FracGASF</t>
  </si>
  <si>
    <t>4D3_1</t>
  </si>
  <si>
    <t xml:space="preserve">M = mass of synthetic fertiliser volatilised </t>
  </si>
  <si>
    <t>FracGASF =0.1</t>
  </si>
  <si>
    <t>Gg N/Gg applied</t>
  </si>
  <si>
    <t>Gg N/farm/season</t>
  </si>
  <si>
    <t xml:space="preserve">The mass of animal waste volatilised </t>
  </si>
  <si>
    <t>M = AE x MMS x FracGASM</t>
  </si>
  <si>
    <t>FracGASM = the fraction of N volatilised in each MMS</t>
  </si>
  <si>
    <t>4D3_2</t>
  </si>
  <si>
    <t>Table 6.31</t>
  </si>
  <si>
    <t>The mass of savanna burning and field burning of agricultural residue NOx-N emissions that volatilise (M)</t>
  </si>
  <si>
    <t>M = E / (46/14)</t>
  </si>
  <si>
    <t>4D3_3</t>
  </si>
  <si>
    <t>E = NOx emissions from savanna burning and field burning of agricultural residues</t>
  </si>
  <si>
    <t>Gg NOx</t>
  </si>
  <si>
    <t>46/14 = factor to convert elemental mass of NOx to molecular mass</t>
  </si>
  <si>
    <t>Annual N2O production from atmospheric deposition (indirect ammonia)</t>
  </si>
  <si>
    <t>4D3_4</t>
  </si>
  <si>
    <t>M = mass of N volatilised from subset k</t>
  </si>
  <si>
    <t>EF = 0.01</t>
  </si>
  <si>
    <t>Total CO2-e emissions from indirect ammonia losses</t>
  </si>
  <si>
    <t>Leaching of organic nitrogen and subsequent denitrification in rivers and estuaries</t>
  </si>
  <si>
    <t>The mass of fertiliser N applied to soils that is lost through leaching and runoff (M)</t>
  </si>
  <si>
    <t>M = M x FracWET x FracLEACH</t>
  </si>
  <si>
    <t>4D3_5</t>
  </si>
  <si>
    <t>M = mass of fertiliser in each production system</t>
  </si>
  <si>
    <t>Appendix 6.J.1</t>
  </si>
  <si>
    <t>The ratio of mean annual evapotranspiration to annual precipitation (Et/P)</t>
  </si>
  <si>
    <t>FracWET  (fraction of N available for leaching and runoff)</t>
  </si>
  <si>
    <t>FracLEACH</t>
  </si>
  <si>
    <t>The mass of animal waste N applied to soils that is lost through leaching and runoff (M)</t>
  </si>
  <si>
    <t>M = (Mnsoil + UN soil + FN soil) x FracWET x FracLEACH</t>
  </si>
  <si>
    <t>4D3_6</t>
  </si>
  <si>
    <t>Mnsoil = mass of manure N applied to soils (animal wastes applied to soils)</t>
  </si>
  <si>
    <t>Unsoil = mass of urinary N applied to soils (animal production)</t>
  </si>
  <si>
    <t>Fnsoil =mass of faecal N applied to soils (animal production)</t>
  </si>
  <si>
    <t>N Fertiliser Pastures TM</t>
  </si>
  <si>
    <t>Nitrogen fertiliser crops TM</t>
  </si>
  <si>
    <t>Total N2O production from leaching and runoff</t>
  </si>
  <si>
    <t>4D3_7</t>
  </si>
  <si>
    <t>M = mass of N lost through leaching and runoff</t>
  </si>
  <si>
    <t>EF (emission factor)</t>
  </si>
  <si>
    <t>Total CO2-e emissions from leaching and runoff (indirect nitrate)</t>
  </si>
  <si>
    <t>Total CO2-e emissions from ammonia and nitrate</t>
  </si>
  <si>
    <t>Softwoods</t>
  </si>
  <si>
    <t>Hardwood</t>
  </si>
  <si>
    <t>Speciality Hardwoods</t>
  </si>
  <si>
    <t>Annual diesel consumption (F)</t>
  </si>
  <si>
    <t>Energy density for diesel (D)</t>
  </si>
  <si>
    <t>Oxidation factor for CO2 (P)</t>
  </si>
  <si>
    <t>Emission factor for CO2 (ADO) (EF)</t>
  </si>
  <si>
    <t>Annual electricity use (F)</t>
  </si>
  <si>
    <t>L/year</t>
  </si>
  <si>
    <t>Gg/kL</t>
  </si>
  <si>
    <t>Gg CO2/PJ</t>
  </si>
  <si>
    <t>kWh</t>
  </si>
  <si>
    <t>Tonnes CO2-e/KWh</t>
  </si>
  <si>
    <t>CO2 emissions from diesel use</t>
  </si>
  <si>
    <t>E = F x D x P x EF x 10^-6</t>
  </si>
  <si>
    <t>Gg CO2</t>
  </si>
  <si>
    <t>CO2 emission factor for ADO</t>
  </si>
  <si>
    <t>g CO2/PJ</t>
  </si>
  <si>
    <t>CH4</t>
  </si>
  <si>
    <t>N2O</t>
  </si>
  <si>
    <t>SO2</t>
  </si>
  <si>
    <t>CO2 emissions from diesel use for non-CO2 gasses</t>
  </si>
  <si>
    <t>t CO2-e</t>
  </si>
  <si>
    <t>Total CO2-e emissions from diesel use</t>
  </si>
  <si>
    <t>CO2 emissions from electricity use</t>
  </si>
  <si>
    <t>E = F x EF</t>
  </si>
  <si>
    <t>Total CO2-e emissions from diesel and electricity</t>
  </si>
  <si>
    <t>Australian Current Best Performance for Fuel Class</t>
  </si>
  <si>
    <t>Fuel type</t>
  </si>
  <si>
    <t>Thermal efficiency (%)</t>
  </si>
  <si>
    <t>kg CO2/MWh</t>
  </si>
  <si>
    <t>t CO2/kWh</t>
  </si>
  <si>
    <t>Note no input can be made from this page - to input your data go to the Data Input tab</t>
  </si>
  <si>
    <t>Farm name:</t>
  </si>
  <si>
    <t>Beef Grazing  - Greenhouse Accounting Framework</t>
  </si>
  <si>
    <t>Where does the farm draw its electricity from?</t>
  </si>
  <si>
    <t>Choose the type of trees planted</t>
  </si>
  <si>
    <t>Chose rainfall in your area</t>
  </si>
  <si>
    <t>This tool may be of assistance to you, but the University of Melbourne and the State of Victoria and its employees do not guarantee that the tool or information contained therein is without flaw of any kind, or is wholly appropriate for your particular purposes and therefore disclaims all liability for any error, loss or other consequence which may arise from reliance on any information contained herein.
Please Note:
a) These methods are continually changing, so we take no responsibility for the currency of the tool, and
b) Professional advice should be sought on the interpretation of the results.</t>
  </si>
  <si>
    <t>SW WA</t>
  </si>
  <si>
    <t>Feed adjustment</t>
  </si>
  <si>
    <t>The three main greenhouse gasses (GHG) emitted at a beef farm scale and contribute to global warming are:</t>
  </si>
  <si>
    <t>By entering in some simple data, which most beef farmers are likely to know, the model presents the user with a greenhouse gas emission profile for their farm. The model also then breaks down these greenhouse gas emissions into the various sources, and where they are coming from on the farm. The user can then conduct some "What if" scenarios, to explore the greenhouse gas impact of changes to farm management.</t>
  </si>
  <si>
    <r>
      <t xml:space="preserve"> N</t>
    </r>
    <r>
      <rPr>
        <vertAlign val="subscript"/>
        <sz val="14"/>
        <rFont val="Times New Roman"/>
        <family val="1"/>
      </rPr>
      <t>2</t>
    </r>
    <r>
      <rPr>
        <sz val="14"/>
        <rFont val="Times New Roman"/>
        <family val="1"/>
      </rPr>
      <t xml:space="preserve">O emissions in beef farms are sourced primarily from: </t>
    </r>
  </si>
  <si>
    <t>The objective of this tool is to create awareness of the various sources of greenhouse gas emissions on beef farms, to stimulate thinking and action aimed at reducing these emissions while further improving farming efficiency.</t>
  </si>
  <si>
    <r>
      <rPr>
        <b/>
        <sz val="14"/>
        <rFont val="Times New Roman"/>
        <family val="1"/>
      </rPr>
      <t xml:space="preserve">3. Rumen manipulation : </t>
    </r>
    <r>
      <rPr>
        <sz val="14"/>
        <rFont val="Times New Roman"/>
        <family val="1"/>
      </rPr>
      <t>This may include vaccination against methanogens, or bacteriophages or bacteriocins as biological control strategies, or monensin as antibiotic. The use of probiotics, Archaeal viruses, reductive acetogens, methane oxidisers and propionate enhancers are new promising strategies to reduce CH4 emissions from beef cattle. However, their in-vivo assessment requires further research.</t>
    </r>
  </si>
  <si>
    <t xml:space="preserve">The total N2O emissions on beef farms are directly related to fertiliser and manure application rates. When intensive N fertilisers are applied but not utilised by plant growth, the proportion of N that is not utilised is lost to the environment through volatilisation, leaching and/or denitrification, producing various forms of N such as NH3, NO3 and N2O. Under grazing conditions, the major source of NH3 volatilisation is assumed to derive from urine. Denitrification rate, and thus N2O emissions, are maximised in warm and waterlogged soils, with liberal soil nitrate present. </t>
  </si>
  <si>
    <r>
      <t>t CO</t>
    </r>
    <r>
      <rPr>
        <b/>
        <vertAlign val="subscript"/>
        <sz val="11"/>
        <rFont val="Times New Roman"/>
        <family val="1"/>
      </rPr>
      <t>2</t>
    </r>
    <r>
      <rPr>
        <b/>
        <sz val="11"/>
        <rFont val="Times New Roman"/>
        <family val="1"/>
      </rPr>
      <t>e/farm</t>
    </r>
  </si>
  <si>
    <t>Crude Protein (CP)</t>
  </si>
  <si>
    <t>Dry matter digestibility (DMD)</t>
  </si>
  <si>
    <t xml:space="preserve">Dry matter digestibility (DMD) </t>
  </si>
  <si>
    <t>Liveweight gain (LWG)</t>
  </si>
  <si>
    <t>kg/head</t>
  </si>
  <si>
    <t>kg N/ha</t>
  </si>
  <si>
    <t>No inputs required in this section</t>
  </si>
  <si>
    <t>Inventory reference</t>
  </si>
  <si>
    <t>F = annual diesel consumption</t>
  </si>
  <si>
    <t>D = energy density for diesel</t>
  </si>
  <si>
    <t>P = oxidation factor for CO2</t>
  </si>
  <si>
    <t>F = Annual electricity use</t>
  </si>
  <si>
    <t>EF = emission factor</t>
  </si>
  <si>
    <t>Emission factor (electricity) (EF)</t>
  </si>
  <si>
    <t xml:space="preserve">Livestock numbers </t>
  </si>
  <si>
    <t>Livestock numbers</t>
  </si>
  <si>
    <t>Dry matter digestibility</t>
  </si>
  <si>
    <t>Years</t>
  </si>
  <si>
    <t>EF (faeces)</t>
  </si>
  <si>
    <t>EF (urine)</t>
  </si>
  <si>
    <t>Y</t>
  </si>
  <si>
    <t>Welcome to the Beef Greenhouse Accounting Framework (B-GAF)</t>
  </si>
  <si>
    <t>NB! See notes on cells</t>
  </si>
  <si>
    <t>Milk - Spring/winter</t>
  </si>
  <si>
    <t>-Summer/Autumn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</si>
</sst>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_-* #,##0_-;\-* #,##0_-;_-* &quot;-&quot;??_-;_-@_-"/>
    <numFmt numFmtId="167" formatCode="_-* #,##0.0000_-;\-* #,##0.0000_-;_-* &quot;-&quot;??_-;_-@_-"/>
    <numFmt numFmtId="168" formatCode="0.00000000"/>
    <numFmt numFmtId="169" formatCode="0.000000000"/>
    <numFmt numFmtId="170" formatCode="_-* #,##0.00000000_-;\-* #,##0.00000000_-;_-* &quot;-&quot;??_-;_-@_-"/>
    <numFmt numFmtId="171" formatCode="_-* #,##0.00000000_-;\-* #,##0.00000000_-;_-* &quot;-&quot;????????_-;_-@_-"/>
    <numFmt numFmtId="172" formatCode="0.000000"/>
    <numFmt numFmtId="173" formatCode="0.00000"/>
    <numFmt numFmtId="174" formatCode="0.0000"/>
    <numFmt numFmtId="175" formatCode="0.0000000"/>
    <numFmt numFmtId="176" formatCode="#,##0.0"/>
    <numFmt numFmtId="177" formatCode="_-* #,##0.0_-;\-* #,##0.0_-;_-* &quot;-&quot;??_-;_-@_-"/>
  </numFmts>
  <fonts count="83">
    <font>
      <sz val="10"/>
      <name val="Arial"/>
      <family val="0"/>
    </font>
    <font>
      <sz val="10"/>
      <color indexed="8"/>
      <name val="Times New Roman"/>
      <family val="2"/>
    </font>
    <font>
      <sz val="11"/>
      <name val="Times New Roman"/>
      <family val="1"/>
    </font>
    <font>
      <sz val="12"/>
      <name val="Times New Roman"/>
      <family val="1"/>
    </font>
    <font>
      <b/>
      <sz val="12"/>
      <name val="Times New Roman"/>
      <family val="1"/>
    </font>
    <font>
      <b/>
      <sz val="11"/>
      <name val="Times New Roman"/>
      <family val="1"/>
    </font>
    <font>
      <i/>
      <sz val="12"/>
      <name val="Times New Roman"/>
      <family val="1"/>
    </font>
    <font>
      <vertAlign val="subscript"/>
      <sz val="11"/>
      <name val="Times New Roman"/>
      <family val="1"/>
    </font>
    <font>
      <b/>
      <i/>
      <sz val="12"/>
      <name val="Times New Roman"/>
      <family val="1"/>
    </font>
    <font>
      <u val="single"/>
      <sz val="10"/>
      <color indexed="12"/>
      <name val="Arial"/>
      <family val="2"/>
    </font>
    <font>
      <sz val="14"/>
      <name val="Times New Roman"/>
      <family val="1"/>
    </font>
    <font>
      <sz val="8"/>
      <name val="Tahoma"/>
      <family val="2"/>
    </font>
    <font>
      <sz val="14"/>
      <name val="Arial"/>
      <family val="2"/>
    </font>
    <font>
      <b/>
      <sz val="14"/>
      <name val="Times New Roman"/>
      <family val="1"/>
    </font>
    <font>
      <u val="single"/>
      <sz val="14"/>
      <color indexed="12"/>
      <name val="Times New Roman"/>
      <family val="1"/>
    </font>
    <font>
      <b/>
      <vertAlign val="subscript"/>
      <sz val="14"/>
      <name val="Times New Roman"/>
      <family val="1"/>
    </font>
    <font>
      <vertAlign val="subscript"/>
      <sz val="14"/>
      <name val="Times New Roman"/>
      <family val="1"/>
    </font>
    <font>
      <u val="single"/>
      <vertAlign val="subscript"/>
      <sz val="14"/>
      <color indexed="12"/>
      <name val="Times New Roman"/>
      <family val="1"/>
    </font>
    <font>
      <sz val="8"/>
      <name val="Arial"/>
      <family val="2"/>
    </font>
    <font>
      <i/>
      <sz val="11"/>
      <name val="Times New Roman"/>
      <family val="1"/>
    </font>
    <font>
      <sz val="12"/>
      <color indexed="10"/>
      <name val="Times New Roman"/>
      <family val="1"/>
    </font>
    <font>
      <u val="single"/>
      <sz val="12"/>
      <name val="Times New Roman"/>
      <family val="1"/>
    </font>
    <font>
      <b/>
      <sz val="12"/>
      <color indexed="10"/>
      <name val="Times New Roman"/>
      <family val="1"/>
    </font>
    <font>
      <b/>
      <vertAlign val="superscript"/>
      <sz val="12"/>
      <name val="Times New Roman"/>
      <family val="1"/>
    </font>
    <font>
      <b/>
      <vertAlign val="subscript"/>
      <sz val="12"/>
      <name val="Times New Roman"/>
      <family val="1"/>
    </font>
    <font>
      <b/>
      <sz val="16"/>
      <name val="Times New Roman"/>
      <family val="1"/>
    </font>
    <font>
      <b/>
      <vertAlign val="subscript"/>
      <sz val="11"/>
      <name val="Times New Roman"/>
      <family val="1"/>
    </font>
    <font>
      <b/>
      <sz val="9"/>
      <name val="Tahoma"/>
      <family val="2"/>
    </font>
    <font>
      <sz val="9.75"/>
      <color indexed="8"/>
      <name val="Arial"/>
      <family val="0"/>
    </font>
    <font>
      <sz val="9"/>
      <color indexed="8"/>
      <name val="Times New Roman"/>
      <family val="0"/>
    </font>
    <font>
      <sz val="4.5"/>
      <color indexed="8"/>
      <name val="Times New Roman"/>
      <family val="0"/>
    </font>
    <font>
      <sz val="6"/>
      <color indexed="8"/>
      <name val="Times New Roman"/>
      <family val="0"/>
    </font>
    <font>
      <sz val="12"/>
      <color indexed="8"/>
      <name val="Times New Roman"/>
      <family val="0"/>
    </font>
    <font>
      <sz val="10.1"/>
      <color indexed="8"/>
      <name val="Times New Roman"/>
      <family val="0"/>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u val="single"/>
      <sz val="10"/>
      <color indexed="20"/>
      <name val="Arial"/>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2"/>
      <color indexed="8"/>
      <name val="Times New Roman"/>
      <family val="1"/>
    </font>
    <font>
      <i/>
      <sz val="10"/>
      <color indexed="10"/>
      <name val="Times New Roman"/>
      <family val="1"/>
    </font>
    <font>
      <i/>
      <sz val="12"/>
      <color indexed="10"/>
      <name val="Times New Roman"/>
      <family val="1"/>
    </font>
    <font>
      <sz val="11"/>
      <color indexed="22"/>
      <name val="Times New Roman"/>
      <family val="1"/>
    </font>
    <font>
      <sz val="11"/>
      <color indexed="8"/>
      <name val="Times New Roman"/>
      <family val="1"/>
    </font>
    <font>
      <b/>
      <sz val="8"/>
      <color indexed="8"/>
      <name val="Times New Roman"/>
      <family val="0"/>
    </font>
    <font>
      <b/>
      <sz val="11"/>
      <color indexed="8"/>
      <name val="Times New Roman"/>
      <family val="0"/>
    </font>
    <font>
      <b/>
      <sz val="14.4"/>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u val="single"/>
      <sz val="10"/>
      <color theme="11"/>
      <name val="Arial"/>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b/>
      <sz val="12"/>
      <color theme="1"/>
      <name val="Times New Roman"/>
      <family val="1"/>
    </font>
    <font>
      <i/>
      <sz val="10"/>
      <color rgb="FFFF0000"/>
      <name val="Times New Roman"/>
      <family val="1"/>
    </font>
    <font>
      <i/>
      <sz val="12"/>
      <color rgb="FFFF0000"/>
      <name val="Times New Roman"/>
      <family val="1"/>
    </font>
    <font>
      <sz val="11"/>
      <color theme="0" tint="-0.1499900072813034"/>
      <name val="Times New Roman"/>
      <family val="1"/>
    </font>
    <font>
      <sz val="11"/>
      <color theme="1"/>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FFFF99"/>
        <bgColor indexed="64"/>
      </patternFill>
    </fill>
    <fill>
      <patternFill patternType="solid">
        <fgColor theme="0"/>
        <bgColor indexed="64"/>
      </patternFill>
    </fill>
    <fill>
      <patternFill patternType="solid">
        <fgColor rgb="FFF2DCDB"/>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top style="thin"/>
      <bottom/>
    </border>
    <border>
      <left/>
      <right/>
      <top/>
      <bottom style="thin"/>
    </border>
    <border>
      <left/>
      <right/>
      <top style="thin"/>
      <bottom style="thin"/>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border>
    <border>
      <left/>
      <right style="thin"/>
      <top/>
      <bottom style="thin"/>
    </border>
    <border>
      <left style="thin"/>
      <right/>
      <top style="thin"/>
      <bottom/>
    </border>
    <border>
      <left style="thin"/>
      <right/>
      <top/>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44">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Border="1" applyAlignment="1">
      <alignment/>
    </xf>
    <xf numFmtId="0" fontId="3" fillId="0" borderId="0" xfId="0" applyFont="1" applyBorder="1" applyAlignment="1">
      <alignment vertical="top" wrapText="1"/>
    </xf>
    <xf numFmtId="0" fontId="10" fillId="0" borderId="0" xfId="0" applyFont="1" applyAlignment="1">
      <alignment/>
    </xf>
    <xf numFmtId="0" fontId="12" fillId="0" borderId="0" xfId="0" applyFont="1" applyAlignment="1">
      <alignment/>
    </xf>
    <xf numFmtId="0" fontId="13" fillId="0" borderId="10" xfId="0" applyFont="1" applyBorder="1" applyAlignment="1">
      <alignment horizontal="center"/>
    </xf>
    <xf numFmtId="0" fontId="10" fillId="0" borderId="11" xfId="0" applyFont="1" applyBorder="1" applyAlignment="1">
      <alignment wrapText="1"/>
    </xf>
    <xf numFmtId="0" fontId="10" fillId="0" borderId="12" xfId="0" applyFont="1" applyBorder="1" applyAlignment="1">
      <alignment wrapText="1"/>
    </xf>
    <xf numFmtId="0" fontId="9" fillId="0" borderId="12" xfId="53" applyBorder="1" applyAlignment="1" applyProtection="1">
      <alignment/>
      <protection/>
    </xf>
    <xf numFmtId="0" fontId="14" fillId="0" borderId="12" xfId="53" applyFont="1" applyBorder="1" applyAlignment="1" applyProtection="1">
      <alignment wrapText="1"/>
      <protection/>
    </xf>
    <xf numFmtId="0" fontId="10" fillId="4" borderId="12" xfId="0" applyFont="1" applyFill="1" applyBorder="1" applyAlignment="1">
      <alignment horizontal="left" wrapText="1"/>
    </xf>
    <xf numFmtId="0" fontId="10" fillId="0" borderId="0" xfId="0" applyFont="1" applyFill="1" applyAlignment="1">
      <alignment/>
    </xf>
    <xf numFmtId="0" fontId="10" fillId="0" borderId="12" xfId="0" applyFont="1" applyFill="1" applyBorder="1" applyAlignment="1">
      <alignment horizontal="left" wrapText="1"/>
    </xf>
    <xf numFmtId="0" fontId="12" fillId="0" borderId="0" xfId="0" applyFont="1" applyFill="1" applyAlignment="1">
      <alignment/>
    </xf>
    <xf numFmtId="0" fontId="10" fillId="4" borderId="11" xfId="0" applyFont="1" applyFill="1" applyBorder="1" applyAlignment="1">
      <alignment vertical="top" wrapText="1"/>
    </xf>
    <xf numFmtId="0" fontId="10" fillId="4" borderId="12" xfId="0" applyFont="1" applyFill="1" applyBorder="1" applyAlignment="1">
      <alignment horizontal="left" vertical="top" wrapText="1"/>
    </xf>
    <xf numFmtId="0" fontId="10" fillId="4" borderId="12" xfId="0" applyFont="1" applyFill="1" applyBorder="1" applyAlignment="1">
      <alignment vertical="top" wrapText="1"/>
    </xf>
    <xf numFmtId="0" fontId="10" fillId="0" borderId="12" xfId="0" applyFont="1" applyBorder="1" applyAlignment="1">
      <alignment vertical="top" wrapText="1"/>
    </xf>
    <xf numFmtId="0" fontId="10" fillId="0" borderId="12" xfId="0" applyFont="1" applyFill="1" applyBorder="1" applyAlignment="1">
      <alignment vertical="top" wrapText="1"/>
    </xf>
    <xf numFmtId="0" fontId="10" fillId="0" borderId="12" xfId="0" applyFont="1" applyBorder="1" applyAlignment="1">
      <alignment/>
    </xf>
    <xf numFmtId="0" fontId="13" fillId="0" borderId="13" xfId="0" applyFont="1" applyFill="1" applyBorder="1" applyAlignment="1">
      <alignment horizontal="center"/>
    </xf>
    <xf numFmtId="0" fontId="10" fillId="0" borderId="12" xfId="0" applyFont="1" applyFill="1" applyBorder="1" applyAlignment="1">
      <alignment/>
    </xf>
    <xf numFmtId="0" fontId="10" fillId="0" borderId="12" xfId="0" applyFont="1" applyFill="1" applyBorder="1" applyAlignment="1">
      <alignment horizontal="left" indent="1"/>
    </xf>
    <xf numFmtId="0" fontId="10" fillId="0" borderId="13" xfId="0" applyFont="1" applyFill="1" applyBorder="1" applyAlignment="1">
      <alignment/>
    </xf>
    <xf numFmtId="0" fontId="3" fillId="11" borderId="0" xfId="0" applyFont="1" applyFill="1" applyBorder="1" applyAlignment="1">
      <alignment/>
    </xf>
    <xf numFmtId="0" fontId="4" fillId="11" borderId="0" xfId="0" applyFont="1" applyFill="1" applyBorder="1" applyAlignment="1">
      <alignment/>
    </xf>
    <xf numFmtId="0" fontId="3" fillId="11" borderId="0" xfId="0" applyFont="1" applyFill="1" applyBorder="1" applyAlignment="1">
      <alignment horizontal="right"/>
    </xf>
    <xf numFmtId="0" fontId="2" fillId="11" borderId="0" xfId="0" applyFont="1" applyFill="1" applyBorder="1" applyAlignment="1" applyProtection="1">
      <alignment/>
      <protection/>
    </xf>
    <xf numFmtId="1" fontId="2" fillId="11" borderId="0" xfId="0" applyNumberFormat="1" applyFont="1" applyFill="1" applyBorder="1" applyAlignment="1" applyProtection="1">
      <alignment horizontal="right" vertical="top" wrapText="1"/>
      <protection/>
    </xf>
    <xf numFmtId="2" fontId="2" fillId="11" borderId="0" xfId="0" applyNumberFormat="1" applyFont="1" applyFill="1" applyBorder="1" applyAlignment="1" applyProtection="1">
      <alignment horizontal="right" vertical="top" wrapText="1"/>
      <protection/>
    </xf>
    <xf numFmtId="165" fontId="2" fillId="11" borderId="0" xfId="0" applyNumberFormat="1" applyFont="1" applyFill="1" applyBorder="1" applyAlignment="1" applyProtection="1">
      <alignment horizontal="right" vertical="top" wrapText="1"/>
      <protection/>
    </xf>
    <xf numFmtId="0" fontId="2" fillId="11" borderId="0" xfId="0" applyFont="1" applyFill="1" applyBorder="1" applyAlignment="1" applyProtection="1">
      <alignment/>
      <protection hidden="1"/>
    </xf>
    <xf numFmtId="0" fontId="13" fillId="0" borderId="0" xfId="0" applyFont="1" applyFill="1" applyBorder="1" applyAlignment="1">
      <alignment/>
    </xf>
    <xf numFmtId="0" fontId="3" fillId="0" borderId="0" xfId="0" applyFont="1" applyFill="1" applyBorder="1" applyAlignment="1">
      <alignment/>
    </xf>
    <xf numFmtId="0" fontId="22" fillId="0"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pplyProtection="1">
      <alignment/>
      <protection locked="0"/>
    </xf>
    <xf numFmtId="1" fontId="3" fillId="0" borderId="0" xfId="0" applyNumberFormat="1" applyFont="1" applyFill="1" applyBorder="1" applyAlignment="1">
      <alignment/>
    </xf>
    <xf numFmtId="0" fontId="3" fillId="0" borderId="0" xfId="0" applyFont="1" applyFill="1" applyBorder="1" applyAlignment="1">
      <alignment horizontal="right"/>
    </xf>
    <xf numFmtId="0" fontId="4" fillId="0" borderId="0" xfId="0" applyFont="1" applyFill="1" applyBorder="1" applyAlignment="1">
      <alignment vertical="top" wrapText="1"/>
    </xf>
    <xf numFmtId="0" fontId="3" fillId="0" borderId="0" xfId="0" applyFont="1" applyFill="1" applyBorder="1" applyAlignment="1">
      <alignment/>
    </xf>
    <xf numFmtId="0" fontId="4" fillId="11" borderId="14" xfId="0" applyFont="1" applyFill="1" applyBorder="1" applyAlignment="1">
      <alignment/>
    </xf>
    <xf numFmtId="0" fontId="3" fillId="11" borderId="14" xfId="0" applyFont="1" applyFill="1" applyBorder="1" applyAlignment="1">
      <alignment/>
    </xf>
    <xf numFmtId="0" fontId="3" fillId="11" borderId="15" xfId="0" applyFont="1" applyFill="1" applyBorder="1" applyAlignment="1">
      <alignment/>
    </xf>
    <xf numFmtId="0" fontId="13" fillId="0" borderId="0" xfId="0" applyFont="1" applyAlignment="1">
      <alignment/>
    </xf>
    <xf numFmtId="0" fontId="13" fillId="0" borderId="0" xfId="0" applyFont="1" applyBorder="1" applyAlignment="1">
      <alignment/>
    </xf>
    <xf numFmtId="0" fontId="4" fillId="0" borderId="0" xfId="0" applyFont="1" applyBorder="1" applyAlignment="1">
      <alignment/>
    </xf>
    <xf numFmtId="0" fontId="8" fillId="0" borderId="0" xfId="0" applyFont="1" applyBorder="1" applyAlignment="1">
      <alignment/>
    </xf>
    <xf numFmtId="164" fontId="3" fillId="0" borderId="0" xfId="0" applyNumberFormat="1" applyFont="1" applyBorder="1" applyAlignment="1">
      <alignment/>
    </xf>
    <xf numFmtId="164" fontId="4" fillId="0" borderId="0" xfId="0" applyNumberFormat="1" applyFont="1" applyBorder="1" applyAlignment="1">
      <alignment/>
    </xf>
    <xf numFmtId="0" fontId="4" fillId="0" borderId="0" xfId="0" applyFont="1" applyBorder="1" applyAlignment="1">
      <alignment vertical="top" wrapText="1"/>
    </xf>
    <xf numFmtId="164" fontId="3" fillId="0" borderId="0" xfId="0" applyNumberFormat="1" applyFont="1" applyBorder="1" applyAlignment="1">
      <alignment vertical="top" wrapText="1"/>
    </xf>
    <xf numFmtId="0" fontId="21"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center"/>
    </xf>
    <xf numFmtId="0" fontId="77" fillId="8" borderId="16" xfId="24" applyFont="1" applyFill="1" applyBorder="1" applyAlignment="1">
      <alignment/>
    </xf>
    <xf numFmtId="0" fontId="4" fillId="14" borderId="16" xfId="0" applyFont="1" applyFill="1" applyBorder="1" applyAlignment="1">
      <alignment horizontal="center"/>
    </xf>
    <xf numFmtId="0" fontId="4" fillId="8" borderId="0" xfId="0" applyFont="1" applyFill="1" applyBorder="1" applyAlignment="1">
      <alignment/>
    </xf>
    <xf numFmtId="0" fontId="77" fillId="8" borderId="0" xfId="24" applyFont="1" applyFill="1" applyBorder="1" applyAlignment="1">
      <alignment/>
    </xf>
    <xf numFmtId="0" fontId="4" fillId="0" borderId="0" xfId="0" applyFont="1" applyBorder="1" applyAlignment="1">
      <alignment horizontal="center"/>
    </xf>
    <xf numFmtId="0" fontId="10" fillId="0" borderId="0" xfId="0" applyFont="1" applyBorder="1" applyAlignment="1">
      <alignment/>
    </xf>
    <xf numFmtId="0" fontId="4" fillId="33" borderId="0" xfId="0" applyFont="1" applyFill="1" applyBorder="1" applyAlignment="1">
      <alignment/>
    </xf>
    <xf numFmtId="0" fontId="3" fillId="33" borderId="0" xfId="0" applyFont="1" applyFill="1" applyBorder="1" applyAlignment="1">
      <alignment/>
    </xf>
    <xf numFmtId="0" fontId="3" fillId="8" borderId="0" xfId="0" applyFont="1" applyFill="1" applyBorder="1" applyAlignment="1">
      <alignment/>
    </xf>
    <xf numFmtId="0" fontId="3" fillId="8" borderId="0" xfId="0" applyFont="1" applyFill="1" applyBorder="1" applyAlignment="1">
      <alignment horizontal="center"/>
    </xf>
    <xf numFmtId="0" fontId="4" fillId="8" borderId="15" xfId="0" applyFont="1" applyFill="1" applyBorder="1" applyAlignment="1">
      <alignment/>
    </xf>
    <xf numFmtId="0" fontId="3" fillId="8" borderId="15" xfId="0" applyFont="1" applyFill="1" applyBorder="1" applyAlignment="1">
      <alignment/>
    </xf>
    <xf numFmtId="0" fontId="3" fillId="8" borderId="15" xfId="0" applyFont="1" applyFill="1" applyBorder="1" applyAlignment="1">
      <alignment horizontal="center"/>
    </xf>
    <xf numFmtId="0" fontId="4" fillId="8" borderId="16" xfId="0" applyFont="1" applyFill="1" applyBorder="1" applyAlignment="1">
      <alignment/>
    </xf>
    <xf numFmtId="165" fontId="3" fillId="8" borderId="0" xfId="0" applyNumberFormat="1" applyFont="1" applyFill="1" applyBorder="1" applyAlignment="1">
      <alignment/>
    </xf>
    <xf numFmtId="2" fontId="3" fillId="8" borderId="0" xfId="0" applyNumberFormat="1" applyFont="1" applyFill="1" applyBorder="1" applyAlignment="1">
      <alignment/>
    </xf>
    <xf numFmtId="164" fontId="3" fillId="8" borderId="0" xfId="0" applyNumberFormat="1" applyFont="1" applyFill="1" applyBorder="1" applyAlignment="1">
      <alignment/>
    </xf>
    <xf numFmtId="0" fontId="8" fillId="8" borderId="0" xfId="0" applyFont="1" applyFill="1" applyBorder="1" applyAlignment="1">
      <alignment/>
    </xf>
    <xf numFmtId="0" fontId="4" fillId="14" borderId="0" xfId="0" applyFont="1" applyFill="1" applyBorder="1" applyAlignment="1">
      <alignment horizontal="center"/>
    </xf>
    <xf numFmtId="0" fontId="3" fillId="14" borderId="0" xfId="0" applyFont="1" applyFill="1" applyBorder="1" applyAlignment="1">
      <alignment/>
    </xf>
    <xf numFmtId="1" fontId="3" fillId="8" borderId="15" xfId="0" applyNumberFormat="1" applyFont="1" applyFill="1" applyBorder="1" applyAlignment="1">
      <alignment/>
    </xf>
    <xf numFmtId="0" fontId="4" fillId="14" borderId="15" xfId="0" applyFont="1" applyFill="1" applyBorder="1" applyAlignment="1">
      <alignment horizontal="center"/>
    </xf>
    <xf numFmtId="0" fontId="4" fillId="16" borderId="16" xfId="0" applyFont="1" applyFill="1" applyBorder="1" applyAlignment="1">
      <alignment horizontal="center"/>
    </xf>
    <xf numFmtId="0" fontId="4" fillId="16" borderId="0" xfId="0" applyFont="1" applyFill="1" applyBorder="1" applyAlignment="1">
      <alignment horizontal="center"/>
    </xf>
    <xf numFmtId="0" fontId="4" fillId="10" borderId="16" xfId="0" applyFont="1" applyFill="1" applyBorder="1" applyAlignment="1">
      <alignment/>
    </xf>
    <xf numFmtId="0" fontId="4" fillId="10" borderId="0" xfId="0" applyFont="1" applyFill="1" applyBorder="1" applyAlignment="1">
      <alignment/>
    </xf>
    <xf numFmtId="0" fontId="4" fillId="10" borderId="0" xfId="0" applyFont="1" applyFill="1" applyBorder="1" applyAlignment="1">
      <alignment horizontal="center"/>
    </xf>
    <xf numFmtId="0" fontId="3" fillId="10" borderId="0" xfId="0" applyFont="1" applyFill="1" applyBorder="1" applyAlignment="1">
      <alignment/>
    </xf>
    <xf numFmtId="0" fontId="3" fillId="10" borderId="0" xfId="0" applyFont="1" applyFill="1" applyBorder="1" applyAlignment="1">
      <alignment horizontal="center"/>
    </xf>
    <xf numFmtId="0" fontId="3" fillId="10" borderId="15" xfId="0" applyFont="1" applyFill="1" applyBorder="1" applyAlignment="1">
      <alignment/>
    </xf>
    <xf numFmtId="0" fontId="3" fillId="10" borderId="15" xfId="0" applyFont="1" applyFill="1" applyBorder="1" applyAlignment="1">
      <alignment horizontal="center"/>
    </xf>
    <xf numFmtId="0" fontId="4" fillId="10" borderId="14" xfId="0" applyFont="1" applyFill="1" applyBorder="1" applyAlignment="1">
      <alignment/>
    </xf>
    <xf numFmtId="0" fontId="3" fillId="10" borderId="14" xfId="0" applyFont="1" applyFill="1" applyBorder="1" applyAlignment="1">
      <alignment/>
    </xf>
    <xf numFmtId="0" fontId="3" fillId="10" borderId="14" xfId="0" applyFont="1" applyFill="1" applyBorder="1" applyAlignment="1">
      <alignment horizontal="center"/>
    </xf>
    <xf numFmtId="175" fontId="3" fillId="10" borderId="0" xfId="0" applyNumberFormat="1" applyFont="1" applyFill="1" applyBorder="1" applyAlignment="1">
      <alignment/>
    </xf>
    <xf numFmtId="168" fontId="3" fillId="10" borderId="0" xfId="0" applyNumberFormat="1" applyFont="1" applyFill="1" applyBorder="1" applyAlignment="1">
      <alignment/>
    </xf>
    <xf numFmtId="172" fontId="3" fillId="10" borderId="0" xfId="0" applyNumberFormat="1" applyFont="1" applyFill="1" applyBorder="1" applyAlignment="1">
      <alignment/>
    </xf>
    <xf numFmtId="0" fontId="4" fillId="10" borderId="15" xfId="0" applyFont="1" applyFill="1" applyBorder="1" applyAlignment="1">
      <alignment/>
    </xf>
    <xf numFmtId="172" fontId="3" fillId="10" borderId="15" xfId="0" applyNumberFormat="1" applyFont="1" applyFill="1" applyBorder="1" applyAlignment="1">
      <alignment/>
    </xf>
    <xf numFmtId="0" fontId="4" fillId="16" borderId="15" xfId="0" applyFont="1" applyFill="1" applyBorder="1" applyAlignment="1">
      <alignment horizontal="center"/>
    </xf>
    <xf numFmtId="0" fontId="22" fillId="0" borderId="0" xfId="0" applyFont="1" applyAlignment="1">
      <alignment/>
    </xf>
    <xf numFmtId="170" fontId="3" fillId="0" borderId="0" xfId="0" applyNumberFormat="1" applyFont="1" applyAlignment="1">
      <alignment/>
    </xf>
    <xf numFmtId="0" fontId="3" fillId="0" borderId="0" xfId="0" applyFont="1" applyAlignment="1">
      <alignment horizontal="center"/>
    </xf>
    <xf numFmtId="171" fontId="3" fillId="0" borderId="0" xfId="0" applyNumberFormat="1" applyFont="1" applyAlignment="1">
      <alignment/>
    </xf>
    <xf numFmtId="0" fontId="4" fillId="0" borderId="0" xfId="0" applyFont="1" applyAlignment="1">
      <alignment horizontal="center"/>
    </xf>
    <xf numFmtId="0" fontId="3" fillId="0" borderId="0" xfId="0" applyFont="1" applyBorder="1" applyAlignment="1">
      <alignment/>
    </xf>
    <xf numFmtId="0" fontId="4" fillId="9" borderId="16" xfId="0" applyFont="1" applyFill="1" applyBorder="1" applyAlignment="1">
      <alignment horizontal="center"/>
    </xf>
    <xf numFmtId="0" fontId="4" fillId="3" borderId="16" xfId="0" applyFont="1" applyFill="1" applyBorder="1" applyAlignment="1">
      <alignment/>
    </xf>
    <xf numFmtId="0" fontId="4" fillId="3" borderId="15" xfId="0" applyFont="1" applyFill="1" applyBorder="1" applyAlignment="1">
      <alignment/>
    </xf>
    <xf numFmtId="0" fontId="3" fillId="3" borderId="15" xfId="0" applyFont="1" applyFill="1" applyBorder="1" applyAlignment="1">
      <alignment/>
    </xf>
    <xf numFmtId="0" fontId="3" fillId="3" borderId="16" xfId="0" applyFont="1" applyFill="1" applyBorder="1" applyAlignment="1">
      <alignment/>
    </xf>
    <xf numFmtId="167" fontId="4" fillId="0" borderId="0" xfId="42" applyNumberFormat="1" applyFont="1" applyAlignment="1">
      <alignment horizontal="center"/>
    </xf>
    <xf numFmtId="0" fontId="3" fillId="0" borderId="0" xfId="0" applyFont="1" applyFill="1" applyBorder="1" applyAlignment="1">
      <alignment vertical="top" wrapText="1"/>
    </xf>
    <xf numFmtId="0" fontId="4" fillId="3" borderId="0" xfId="0" applyFont="1" applyFill="1" applyBorder="1" applyAlignment="1">
      <alignment/>
    </xf>
    <xf numFmtId="0" fontId="3" fillId="3" borderId="0" xfId="0" applyFont="1" applyFill="1" applyBorder="1" applyAlignment="1">
      <alignment/>
    </xf>
    <xf numFmtId="0" fontId="3" fillId="3" borderId="0" xfId="0" applyFont="1" applyFill="1" applyBorder="1" applyAlignment="1">
      <alignment horizontal="center"/>
    </xf>
    <xf numFmtId="1" fontId="3" fillId="3" borderId="0" xfId="0" applyNumberFormat="1" applyFont="1" applyFill="1" applyBorder="1" applyAlignment="1">
      <alignment/>
    </xf>
    <xf numFmtId="2" fontId="3" fillId="3" borderId="15" xfId="0" applyNumberFormat="1" applyFont="1" applyFill="1" applyBorder="1" applyAlignment="1">
      <alignment/>
    </xf>
    <xf numFmtId="0" fontId="3" fillId="3" borderId="17" xfId="0" applyFont="1" applyFill="1" applyBorder="1" applyAlignment="1">
      <alignment/>
    </xf>
    <xf numFmtId="0" fontId="3" fillId="3" borderId="18" xfId="0" applyFont="1" applyFill="1" applyBorder="1" applyAlignment="1">
      <alignment/>
    </xf>
    <xf numFmtId="0" fontId="3" fillId="3" borderId="19" xfId="0" applyFont="1" applyFill="1" applyBorder="1" applyAlignment="1">
      <alignment/>
    </xf>
    <xf numFmtId="0" fontId="3" fillId="3" borderId="20" xfId="0" applyFont="1" applyFill="1" applyBorder="1" applyAlignment="1">
      <alignment/>
    </xf>
    <xf numFmtId="174" fontId="3" fillId="3" borderId="0" xfId="0" applyNumberFormat="1" applyFont="1" applyFill="1" applyBorder="1" applyAlignment="1">
      <alignment/>
    </xf>
    <xf numFmtId="172" fontId="3" fillId="3" borderId="0" xfId="0" applyNumberFormat="1" applyFont="1" applyFill="1" applyBorder="1" applyAlignment="1">
      <alignment/>
    </xf>
    <xf numFmtId="0" fontId="3" fillId="3" borderId="15" xfId="0" applyFont="1" applyFill="1" applyBorder="1" applyAlignment="1">
      <alignment horizontal="center"/>
    </xf>
    <xf numFmtId="0" fontId="4" fillId="9" borderId="0" xfId="0" applyFont="1" applyFill="1" applyBorder="1" applyAlignment="1">
      <alignment horizontal="center"/>
    </xf>
    <xf numFmtId="0" fontId="4" fillId="9" borderId="15" xfId="0" applyFont="1" applyFill="1" applyBorder="1" applyAlignment="1">
      <alignment horizontal="center"/>
    </xf>
    <xf numFmtId="0" fontId="13" fillId="0" borderId="0" xfId="0" applyFont="1" applyFill="1" applyAlignment="1">
      <alignment/>
    </xf>
    <xf numFmtId="0" fontId="8" fillId="0" borderId="0" xfId="0" applyFont="1" applyFill="1" applyBorder="1" applyAlignment="1">
      <alignment/>
    </xf>
    <xf numFmtId="0" fontId="20" fillId="0" borderId="0" xfId="0" applyFont="1" applyAlignment="1">
      <alignment/>
    </xf>
    <xf numFmtId="0" fontId="3" fillId="0" borderId="0" xfId="0" applyFont="1" applyFill="1" applyAlignment="1">
      <alignment/>
    </xf>
    <xf numFmtId="0" fontId="4" fillId="34" borderId="16" xfId="0" applyFont="1" applyFill="1" applyBorder="1" applyAlignment="1">
      <alignment horizontal="center"/>
    </xf>
    <xf numFmtId="0" fontId="3" fillId="34" borderId="0" xfId="0" applyFont="1" applyFill="1" applyAlignment="1">
      <alignment/>
    </xf>
    <xf numFmtId="0" fontId="3" fillId="32" borderId="0" xfId="0" applyFont="1" applyFill="1" applyBorder="1" applyAlignment="1">
      <alignment/>
    </xf>
    <xf numFmtId="0" fontId="4" fillId="32" borderId="16" xfId="0" applyFont="1" applyFill="1" applyBorder="1" applyAlignment="1">
      <alignment/>
    </xf>
    <xf numFmtId="0" fontId="4" fillId="32" borderId="16" xfId="0" applyFont="1" applyFill="1" applyBorder="1" applyAlignment="1">
      <alignment horizontal="center"/>
    </xf>
    <xf numFmtId="0" fontId="3" fillId="32" borderId="0" xfId="0" applyFont="1" applyFill="1" applyAlignment="1">
      <alignment/>
    </xf>
    <xf numFmtId="3" fontId="3" fillId="32" borderId="0" xfId="0" applyNumberFormat="1" applyFont="1" applyFill="1" applyBorder="1" applyAlignment="1">
      <alignment/>
    </xf>
    <xf numFmtId="168" fontId="3" fillId="32" borderId="0" xfId="0" applyNumberFormat="1" applyFont="1" applyFill="1" applyBorder="1" applyAlignment="1">
      <alignment/>
    </xf>
    <xf numFmtId="0" fontId="4" fillId="32" borderId="0" xfId="0" applyFont="1" applyFill="1" applyBorder="1" applyAlignment="1">
      <alignment/>
    </xf>
    <xf numFmtId="0" fontId="3" fillId="32" borderId="15" xfId="0" applyFont="1" applyFill="1" applyBorder="1" applyAlignment="1">
      <alignment/>
    </xf>
    <xf numFmtId="0" fontId="3" fillId="32" borderId="16" xfId="0" applyFont="1" applyFill="1" applyBorder="1" applyAlignment="1">
      <alignment/>
    </xf>
    <xf numFmtId="0" fontId="4" fillId="34" borderId="0" xfId="0" applyFont="1" applyFill="1" applyAlignment="1">
      <alignment horizontal="center"/>
    </xf>
    <xf numFmtId="0" fontId="4" fillId="34" borderId="0" xfId="0" applyFont="1" applyFill="1" applyAlignment="1">
      <alignment horizontal="left"/>
    </xf>
    <xf numFmtId="0" fontId="4" fillId="0" borderId="0" xfId="0" applyFont="1" applyFill="1" applyAlignment="1">
      <alignment horizontal="center"/>
    </xf>
    <xf numFmtId="165" fontId="3" fillId="0" borderId="0" xfId="0" applyNumberFormat="1" applyFont="1" applyFill="1" applyAlignment="1">
      <alignment/>
    </xf>
    <xf numFmtId="164" fontId="3" fillId="0" borderId="0" xfId="0" applyNumberFormat="1" applyFont="1" applyFill="1" applyBorder="1" applyAlignment="1">
      <alignment horizontal="right"/>
    </xf>
    <xf numFmtId="169" fontId="3" fillId="0" borderId="0" xfId="0" applyNumberFormat="1" applyFont="1" applyFill="1" applyBorder="1" applyAlignment="1">
      <alignment/>
    </xf>
    <xf numFmtId="0" fontId="3" fillId="0" borderId="15" xfId="0" applyFont="1" applyFill="1" applyBorder="1" applyAlignment="1">
      <alignment/>
    </xf>
    <xf numFmtId="175" fontId="3" fillId="3" borderId="0" xfId="0" applyNumberFormat="1" applyFont="1" applyFill="1" applyBorder="1" applyAlignment="1">
      <alignment/>
    </xf>
    <xf numFmtId="0" fontId="4" fillId="34" borderId="0" xfId="0" applyFont="1" applyFill="1" applyBorder="1" applyAlignment="1">
      <alignment horizontal="center"/>
    </xf>
    <xf numFmtId="0" fontId="4" fillId="34" borderId="0" xfId="0" applyFont="1" applyFill="1" applyBorder="1" applyAlignment="1">
      <alignment horizontal="center" vertical="top" wrapText="1"/>
    </xf>
    <xf numFmtId="0" fontId="4" fillId="34" borderId="21" xfId="0" applyFont="1" applyFill="1" applyBorder="1" applyAlignment="1">
      <alignment horizontal="center"/>
    </xf>
    <xf numFmtId="0" fontId="3" fillId="34" borderId="20" xfId="0" applyFont="1" applyFill="1" applyBorder="1" applyAlignment="1">
      <alignment/>
    </xf>
    <xf numFmtId="0" fontId="4" fillId="34" borderId="20" xfId="0" applyFont="1" applyFill="1" applyBorder="1" applyAlignment="1">
      <alignment horizontal="center"/>
    </xf>
    <xf numFmtId="0" fontId="4" fillId="34" borderId="22" xfId="0" applyFont="1" applyFill="1" applyBorder="1" applyAlignment="1">
      <alignment horizontal="center"/>
    </xf>
    <xf numFmtId="169" fontId="4" fillId="34" borderId="0" xfId="0" applyNumberFormat="1" applyFont="1" applyFill="1" applyAlignment="1">
      <alignment horizontal="center"/>
    </xf>
    <xf numFmtId="175" fontId="4" fillId="34" borderId="0" xfId="0" applyNumberFormat="1" applyFont="1" applyFill="1" applyAlignment="1">
      <alignment horizontal="center"/>
    </xf>
    <xf numFmtId="0" fontId="4" fillId="34" borderId="15" xfId="0" applyFont="1" applyFill="1" applyBorder="1" applyAlignment="1">
      <alignment horizontal="center"/>
    </xf>
    <xf numFmtId="0" fontId="4" fillId="32" borderId="0" xfId="0" applyFont="1" applyFill="1" applyAlignment="1">
      <alignment horizontal="center"/>
    </xf>
    <xf numFmtId="0" fontId="3" fillId="32" borderId="20" xfId="0" applyFont="1" applyFill="1" applyBorder="1" applyAlignment="1">
      <alignment/>
    </xf>
    <xf numFmtId="0" fontId="4" fillId="32" borderId="0" xfId="0" applyFont="1" applyFill="1" applyAlignment="1">
      <alignment/>
    </xf>
    <xf numFmtId="2" fontId="3" fillId="32" borderId="0" xfId="0" applyNumberFormat="1" applyFont="1" applyFill="1" applyAlignment="1">
      <alignment/>
    </xf>
    <xf numFmtId="0" fontId="4" fillId="32" borderId="23" xfId="0" applyFont="1" applyFill="1" applyBorder="1" applyAlignment="1">
      <alignment/>
    </xf>
    <xf numFmtId="0" fontId="3" fillId="32" borderId="14" xfId="0" applyFont="1" applyFill="1" applyBorder="1" applyAlignment="1">
      <alignment/>
    </xf>
    <xf numFmtId="0" fontId="8" fillId="32" borderId="14" xfId="0" applyFont="1" applyFill="1" applyBorder="1" applyAlignment="1">
      <alignment/>
    </xf>
    <xf numFmtId="0" fontId="4" fillId="32" borderId="19" xfId="0" applyFont="1" applyFill="1" applyBorder="1" applyAlignment="1">
      <alignment/>
    </xf>
    <xf numFmtId="0" fontId="3" fillId="32" borderId="19" xfId="0" applyFont="1" applyFill="1" applyBorder="1" applyAlignment="1">
      <alignment/>
    </xf>
    <xf numFmtId="0" fontId="6" fillId="32" borderId="0" xfId="0" applyFont="1" applyFill="1" applyBorder="1" applyAlignment="1">
      <alignment/>
    </xf>
    <xf numFmtId="0" fontId="3" fillId="32" borderId="24" xfId="0" applyFont="1" applyFill="1" applyBorder="1" applyAlignment="1">
      <alignment/>
    </xf>
    <xf numFmtId="0" fontId="6" fillId="32" borderId="15" xfId="0" applyFont="1" applyFill="1" applyBorder="1" applyAlignment="1">
      <alignment/>
    </xf>
    <xf numFmtId="0" fontId="4" fillId="32" borderId="15" xfId="0" applyFont="1" applyFill="1" applyBorder="1" applyAlignment="1">
      <alignment/>
    </xf>
    <xf numFmtId="0" fontId="6" fillId="32" borderId="0" xfId="0" applyFont="1" applyFill="1" applyAlignment="1">
      <alignment/>
    </xf>
    <xf numFmtId="0" fontId="3" fillId="32" borderId="0" xfId="0" applyFont="1" applyFill="1" applyAlignment="1">
      <alignment horizontal="right"/>
    </xf>
    <xf numFmtId="175" fontId="3" fillId="32" borderId="0" xfId="0" applyNumberFormat="1" applyFont="1" applyFill="1" applyBorder="1" applyAlignment="1">
      <alignment/>
    </xf>
    <xf numFmtId="173" fontId="3" fillId="32" borderId="0" xfId="0" applyNumberFormat="1" applyFont="1" applyFill="1" applyAlignment="1">
      <alignment/>
    </xf>
    <xf numFmtId="0" fontId="3" fillId="32" borderId="0" xfId="0" applyFont="1" applyFill="1" applyBorder="1" applyAlignment="1">
      <alignment horizontal="right"/>
    </xf>
    <xf numFmtId="175" fontId="3" fillId="32" borderId="0" xfId="0" applyNumberFormat="1" applyFont="1" applyFill="1" applyAlignment="1">
      <alignment/>
    </xf>
    <xf numFmtId="172" fontId="3" fillId="32" borderId="0" xfId="0" applyNumberFormat="1" applyFont="1" applyFill="1" applyAlignment="1">
      <alignment/>
    </xf>
    <xf numFmtId="0" fontId="3" fillId="32" borderId="0" xfId="0" applyFont="1" applyFill="1" applyAlignment="1">
      <alignment horizontal="left"/>
    </xf>
    <xf numFmtId="0" fontId="3" fillId="32" borderId="23" xfId="0" applyFont="1" applyFill="1" applyBorder="1" applyAlignment="1">
      <alignment horizontal="right"/>
    </xf>
    <xf numFmtId="164" fontId="3" fillId="32" borderId="14" xfId="0" applyNumberFormat="1" applyFont="1" applyFill="1" applyBorder="1" applyAlignment="1">
      <alignment/>
    </xf>
    <xf numFmtId="0" fontId="3" fillId="32" borderId="21" xfId="0" applyFont="1" applyFill="1" applyBorder="1" applyAlignment="1">
      <alignment/>
    </xf>
    <xf numFmtId="0" fontId="3" fillId="32" borderId="19" xfId="0" applyFont="1" applyFill="1" applyBorder="1" applyAlignment="1">
      <alignment horizontal="right"/>
    </xf>
    <xf numFmtId="164" fontId="3" fillId="32" borderId="0" xfId="0" applyNumberFormat="1" applyFont="1" applyFill="1" applyBorder="1" applyAlignment="1">
      <alignment/>
    </xf>
    <xf numFmtId="0" fontId="3" fillId="32" borderId="24" xfId="0" applyFont="1" applyFill="1" applyBorder="1" applyAlignment="1">
      <alignment horizontal="right"/>
    </xf>
    <xf numFmtId="164" fontId="3" fillId="32" borderId="15" xfId="0" applyNumberFormat="1" applyFont="1" applyFill="1" applyBorder="1" applyAlignment="1">
      <alignment/>
    </xf>
    <xf numFmtId="0" fontId="3" fillId="32" borderId="22" xfId="0" applyFont="1" applyFill="1" applyBorder="1" applyAlignment="1">
      <alignment/>
    </xf>
    <xf numFmtId="172" fontId="3" fillId="32" borderId="14" xfId="0" applyNumberFormat="1" applyFont="1" applyFill="1" applyBorder="1" applyAlignment="1">
      <alignment/>
    </xf>
    <xf numFmtId="172" fontId="3" fillId="32" borderId="0" xfId="0" applyNumberFormat="1" applyFont="1" applyFill="1" applyBorder="1" applyAlignment="1">
      <alignment/>
    </xf>
    <xf numFmtId="172" fontId="3" fillId="32" borderId="15" xfId="0" applyNumberFormat="1" applyFont="1" applyFill="1" applyBorder="1" applyAlignment="1">
      <alignment/>
    </xf>
    <xf numFmtId="174" fontId="3" fillId="32" borderId="0" xfId="0" applyNumberFormat="1" applyFont="1" applyFill="1" applyAlignment="1">
      <alignment/>
    </xf>
    <xf numFmtId="173" fontId="3" fillId="32" borderId="14" xfId="0" applyNumberFormat="1" applyFont="1" applyFill="1" applyBorder="1" applyAlignment="1">
      <alignment/>
    </xf>
    <xf numFmtId="173" fontId="3" fillId="32" borderId="0" xfId="0" applyNumberFormat="1" applyFont="1" applyFill="1" applyBorder="1" applyAlignment="1">
      <alignment/>
    </xf>
    <xf numFmtId="173" fontId="3" fillId="32" borderId="15" xfId="0" applyNumberFormat="1" applyFont="1" applyFill="1" applyBorder="1" applyAlignment="1">
      <alignment/>
    </xf>
    <xf numFmtId="173" fontId="3" fillId="32" borderId="21" xfId="0" applyNumberFormat="1" applyFont="1" applyFill="1" applyBorder="1" applyAlignment="1">
      <alignment/>
    </xf>
    <xf numFmtId="173" fontId="3" fillId="32" borderId="20" xfId="0" applyNumberFormat="1" applyFont="1" applyFill="1" applyBorder="1" applyAlignment="1">
      <alignment/>
    </xf>
    <xf numFmtId="173" fontId="3" fillId="32" borderId="22" xfId="0" applyNumberFormat="1" applyFont="1" applyFill="1" applyBorder="1" applyAlignment="1">
      <alignment/>
    </xf>
    <xf numFmtId="2" fontId="3" fillId="32" borderId="0" xfId="0" applyNumberFormat="1" applyFont="1" applyFill="1" applyBorder="1" applyAlignment="1">
      <alignment/>
    </xf>
    <xf numFmtId="2" fontId="3" fillId="32" borderId="15" xfId="0" applyNumberFormat="1" applyFont="1" applyFill="1" applyBorder="1" applyAlignment="1">
      <alignment/>
    </xf>
    <xf numFmtId="0" fontId="3" fillId="33" borderId="15" xfId="0" applyFont="1" applyFill="1" applyBorder="1" applyAlignment="1">
      <alignment/>
    </xf>
    <xf numFmtId="0" fontId="4" fillId="33" borderId="14" xfId="0" applyFont="1" applyFill="1" applyBorder="1" applyAlignment="1">
      <alignment/>
    </xf>
    <xf numFmtId="0" fontId="4" fillId="33" borderId="15" xfId="0" applyFont="1" applyFill="1" applyBorder="1" applyAlignment="1">
      <alignment/>
    </xf>
    <xf numFmtId="9" fontId="4" fillId="33" borderId="0" xfId="0" applyNumberFormat="1" applyFont="1" applyFill="1" applyBorder="1" applyAlignment="1">
      <alignment/>
    </xf>
    <xf numFmtId="165" fontId="4" fillId="33" borderId="0" xfId="0" applyNumberFormat="1" applyFont="1" applyFill="1" applyBorder="1" applyAlignment="1">
      <alignment/>
    </xf>
    <xf numFmtId="9" fontId="3" fillId="33" borderId="0" xfId="0" applyNumberFormat="1" applyFont="1" applyFill="1" applyBorder="1" applyAlignment="1">
      <alignment/>
    </xf>
    <xf numFmtId="165" fontId="3" fillId="33" borderId="0" xfId="0" applyNumberFormat="1" applyFont="1" applyFill="1" applyBorder="1" applyAlignment="1">
      <alignment/>
    </xf>
    <xf numFmtId="0" fontId="4" fillId="33" borderId="0" xfId="0" applyFont="1" applyFill="1" applyBorder="1" applyAlignment="1">
      <alignment horizontal="center"/>
    </xf>
    <xf numFmtId="0" fontId="4" fillId="11" borderId="23" xfId="0" applyFont="1" applyFill="1" applyBorder="1" applyAlignment="1">
      <alignment/>
    </xf>
    <xf numFmtId="0" fontId="3" fillId="0" borderId="14" xfId="0" applyFont="1" applyFill="1" applyBorder="1" applyAlignment="1" applyProtection="1">
      <alignment/>
      <protection locked="0"/>
    </xf>
    <xf numFmtId="0" fontId="3" fillId="11" borderId="21" xfId="0" applyFont="1" applyFill="1" applyBorder="1" applyAlignment="1" applyProtection="1">
      <alignment horizontal="right"/>
      <protection locked="0"/>
    </xf>
    <xf numFmtId="0" fontId="4" fillId="11" borderId="19" xfId="0" applyFont="1" applyFill="1" applyBorder="1" applyAlignment="1">
      <alignment/>
    </xf>
    <xf numFmtId="0" fontId="3" fillId="11" borderId="20" xfId="0" applyFont="1" applyFill="1" applyBorder="1" applyAlignment="1" applyProtection="1">
      <alignment horizontal="right"/>
      <protection locked="0"/>
    </xf>
    <xf numFmtId="0" fontId="4" fillId="11" borderId="24" xfId="0" applyFont="1" applyFill="1" applyBorder="1" applyAlignment="1">
      <alignment/>
    </xf>
    <xf numFmtId="0" fontId="3" fillId="11" borderId="15" xfId="0" applyFont="1" applyFill="1" applyBorder="1" applyAlignment="1" applyProtection="1">
      <alignment/>
      <protection/>
    </xf>
    <xf numFmtId="0" fontId="3" fillId="11" borderId="22" xfId="0" applyFont="1" applyFill="1" applyBorder="1" applyAlignment="1" applyProtection="1">
      <alignment horizontal="right"/>
      <protection locked="0"/>
    </xf>
    <xf numFmtId="0" fontId="4" fillId="11" borderId="21" xfId="0" applyFont="1" applyFill="1" applyBorder="1" applyAlignment="1">
      <alignment/>
    </xf>
    <xf numFmtId="1" fontId="3" fillId="11" borderId="15" xfId="0" applyNumberFormat="1" applyFont="1" applyFill="1" applyBorder="1" applyAlignment="1">
      <alignment/>
    </xf>
    <xf numFmtId="2" fontId="3" fillId="11" borderId="15" xfId="0" applyNumberFormat="1" applyFont="1" applyFill="1" applyBorder="1" applyAlignment="1">
      <alignment/>
    </xf>
    <xf numFmtId="0" fontId="3" fillId="0" borderId="14" xfId="0" applyFont="1" applyFill="1" applyBorder="1" applyAlignment="1">
      <alignment/>
    </xf>
    <xf numFmtId="0" fontId="3" fillId="11" borderId="21" xfId="0" applyFont="1" applyFill="1" applyBorder="1" applyAlignment="1">
      <alignment horizontal="right"/>
    </xf>
    <xf numFmtId="0" fontId="3" fillId="11" borderId="22" xfId="0" applyFont="1" applyFill="1" applyBorder="1" applyAlignment="1">
      <alignment horizontal="right"/>
    </xf>
    <xf numFmtId="0" fontId="3" fillId="11" borderId="21" xfId="0" applyFont="1" applyFill="1" applyBorder="1" applyAlignment="1">
      <alignment/>
    </xf>
    <xf numFmtId="0" fontId="3" fillId="11" borderId="20" xfId="0" applyFont="1" applyFill="1" applyBorder="1" applyAlignment="1">
      <alignment/>
    </xf>
    <xf numFmtId="0" fontId="3" fillId="11" borderId="22" xfId="0" applyFont="1" applyFill="1" applyBorder="1" applyAlignment="1">
      <alignment/>
    </xf>
    <xf numFmtId="0" fontId="3" fillId="0" borderId="15" xfId="0" applyFont="1" applyFill="1" applyBorder="1" applyAlignment="1" applyProtection="1">
      <alignment/>
      <protection locked="0"/>
    </xf>
    <xf numFmtId="0" fontId="4" fillId="0" borderId="0" xfId="0" applyFont="1" applyAlignment="1">
      <alignment horizontal="right"/>
    </xf>
    <xf numFmtId="0" fontId="3" fillId="0" borderId="0" xfId="0" applyFont="1" applyFill="1" applyBorder="1" applyAlignment="1">
      <alignment horizontal="right" vertical="top" wrapText="1"/>
    </xf>
    <xf numFmtId="0" fontId="4" fillId="7" borderId="16" xfId="0" applyFont="1" applyFill="1" applyBorder="1" applyAlignment="1">
      <alignment/>
    </xf>
    <xf numFmtId="0" fontId="3" fillId="7" borderId="16" xfId="0" applyFont="1" applyFill="1" applyBorder="1" applyAlignment="1">
      <alignment/>
    </xf>
    <xf numFmtId="0" fontId="3" fillId="7" borderId="0" xfId="0" applyFont="1" applyFill="1" applyAlignment="1">
      <alignment/>
    </xf>
    <xf numFmtId="0" fontId="3" fillId="7" borderId="0" xfId="0" applyFont="1" applyFill="1" applyBorder="1" applyAlignment="1">
      <alignment/>
    </xf>
    <xf numFmtId="0" fontId="4" fillId="7" borderId="0" xfId="0" applyFont="1" applyFill="1" applyAlignment="1">
      <alignment/>
    </xf>
    <xf numFmtId="2" fontId="3" fillId="7" borderId="0" xfId="0" applyNumberFormat="1" applyFont="1" applyFill="1" applyAlignment="1">
      <alignment/>
    </xf>
    <xf numFmtId="0" fontId="3" fillId="7" borderId="0" xfId="0" applyFont="1" applyFill="1" applyBorder="1" applyAlignment="1">
      <alignment horizontal="right"/>
    </xf>
    <xf numFmtId="174" fontId="3" fillId="7" borderId="0" xfId="0" applyNumberFormat="1" applyFont="1" applyFill="1" applyAlignment="1">
      <alignment/>
    </xf>
    <xf numFmtId="174" fontId="4" fillId="7" borderId="0" xfId="0" applyNumberFormat="1" applyFont="1" applyFill="1" applyAlignment="1">
      <alignment/>
    </xf>
    <xf numFmtId="0" fontId="4" fillId="7" borderId="0" xfId="0" applyFont="1" applyFill="1" applyBorder="1" applyAlignment="1">
      <alignment vertical="top" wrapText="1"/>
    </xf>
    <xf numFmtId="0" fontId="4" fillId="7" borderId="24" xfId="0" applyFont="1" applyFill="1" applyBorder="1" applyAlignment="1">
      <alignment/>
    </xf>
    <xf numFmtId="0" fontId="4" fillId="7" borderId="15" xfId="0" applyFont="1" applyFill="1" applyBorder="1" applyAlignment="1">
      <alignment/>
    </xf>
    <xf numFmtId="0" fontId="4" fillId="7" borderId="22" xfId="0" applyFont="1" applyFill="1" applyBorder="1" applyAlignment="1">
      <alignment/>
    </xf>
    <xf numFmtId="0" fontId="3" fillId="0" borderId="0" xfId="0" applyFont="1" applyFill="1" applyBorder="1" applyAlignment="1">
      <alignment horizontal="left"/>
    </xf>
    <xf numFmtId="167" fontId="3" fillId="0" borderId="0" xfId="42" applyNumberFormat="1" applyFont="1" applyFill="1" applyBorder="1" applyAlignment="1">
      <alignment/>
    </xf>
    <xf numFmtId="43" fontId="3" fillId="0" borderId="0" xfId="0" applyNumberFormat="1" applyFont="1" applyFill="1" applyBorder="1" applyAlignment="1">
      <alignment/>
    </xf>
    <xf numFmtId="0" fontId="3" fillId="0" borderId="0" xfId="0" applyFont="1" applyFill="1" applyBorder="1" applyAlignment="1">
      <alignment horizontal="left" vertical="top" wrapText="1"/>
    </xf>
    <xf numFmtId="0" fontId="3" fillId="7" borderId="19" xfId="0" applyFont="1" applyFill="1" applyBorder="1" applyAlignment="1">
      <alignment horizontal="right" vertical="top" wrapText="1"/>
    </xf>
    <xf numFmtId="0" fontId="3" fillId="7" borderId="0" xfId="0" applyFont="1" applyFill="1" applyBorder="1" applyAlignment="1">
      <alignment horizontal="right" vertical="top" wrapText="1"/>
    </xf>
    <xf numFmtId="0" fontId="3" fillId="7" borderId="20" xfId="0" applyFont="1" applyFill="1" applyBorder="1" applyAlignment="1">
      <alignment horizontal="right" vertical="top" wrapText="1"/>
    </xf>
    <xf numFmtId="0" fontId="3" fillId="7" borderId="0" xfId="0" applyFont="1" applyFill="1" applyBorder="1" applyAlignment="1">
      <alignment vertical="top" wrapText="1"/>
    </xf>
    <xf numFmtId="0" fontId="3" fillId="7" borderId="20" xfId="0" applyFont="1" applyFill="1" applyBorder="1" applyAlignment="1">
      <alignment vertical="top" wrapText="1"/>
    </xf>
    <xf numFmtId="0" fontId="3" fillId="7" borderId="24" xfId="0" applyFont="1" applyFill="1" applyBorder="1" applyAlignment="1">
      <alignment horizontal="right" vertical="top" wrapText="1"/>
    </xf>
    <xf numFmtId="0" fontId="3" fillId="7" borderId="15" xfId="0" applyFont="1" applyFill="1" applyBorder="1" applyAlignment="1">
      <alignment/>
    </xf>
    <xf numFmtId="0" fontId="3" fillId="7" borderId="15" xfId="0" applyFont="1" applyFill="1" applyBorder="1" applyAlignment="1">
      <alignment vertical="top" wrapText="1"/>
    </xf>
    <xf numFmtId="0" fontId="3" fillId="7" borderId="22" xfId="0" applyFont="1" applyFill="1" applyBorder="1" applyAlignment="1">
      <alignment vertical="top" wrapText="1"/>
    </xf>
    <xf numFmtId="0" fontId="3" fillId="7" borderId="19" xfId="0" applyFont="1" applyFill="1" applyBorder="1" applyAlignment="1">
      <alignment/>
    </xf>
    <xf numFmtId="0" fontId="3" fillId="7" borderId="20" xfId="0" applyFont="1" applyFill="1" applyBorder="1" applyAlignment="1">
      <alignment horizontal="right"/>
    </xf>
    <xf numFmtId="0" fontId="3" fillId="7" borderId="24" xfId="0" applyFont="1" applyFill="1" applyBorder="1" applyAlignment="1">
      <alignment/>
    </xf>
    <xf numFmtId="0" fontId="3" fillId="7" borderId="15" xfId="0" applyFont="1" applyFill="1" applyBorder="1" applyAlignment="1">
      <alignment horizontal="right"/>
    </xf>
    <xf numFmtId="0" fontId="3" fillId="7" borderId="22" xfId="0" applyFont="1" applyFill="1" applyBorder="1" applyAlignment="1">
      <alignment horizontal="right"/>
    </xf>
    <xf numFmtId="0" fontId="78" fillId="35" borderId="0" xfId="0" applyFont="1" applyFill="1" applyAlignment="1" applyProtection="1">
      <alignment/>
      <protection/>
    </xf>
    <xf numFmtId="0" fontId="76" fillId="35" borderId="0" xfId="0" applyFont="1" applyFill="1" applyAlignment="1" applyProtection="1">
      <alignment/>
      <protection/>
    </xf>
    <xf numFmtId="0" fontId="3" fillId="0" borderId="23" xfId="0" applyFont="1" applyFill="1" applyBorder="1" applyAlignment="1">
      <alignment/>
    </xf>
    <xf numFmtId="0" fontId="3" fillId="0" borderId="21" xfId="0" applyFont="1" applyFill="1" applyBorder="1" applyAlignment="1">
      <alignment/>
    </xf>
    <xf numFmtId="0" fontId="3" fillId="0" borderId="19" xfId="0" applyFont="1" applyFill="1" applyBorder="1" applyAlignment="1">
      <alignment/>
    </xf>
    <xf numFmtId="0" fontId="4" fillId="0" borderId="20" xfId="0" applyFont="1" applyFill="1" applyBorder="1" applyAlignment="1">
      <alignment vertical="top" wrapText="1"/>
    </xf>
    <xf numFmtId="0" fontId="3" fillId="0" borderId="20" xfId="0" applyFont="1" applyFill="1" applyBorder="1" applyAlignment="1">
      <alignment/>
    </xf>
    <xf numFmtId="0" fontId="3" fillId="0" borderId="24" xfId="0" applyFont="1" applyFill="1" applyBorder="1" applyAlignment="1">
      <alignment/>
    </xf>
    <xf numFmtId="0" fontId="4" fillId="0" borderId="15" xfId="0" applyFont="1" applyFill="1" applyBorder="1" applyAlignment="1">
      <alignment/>
    </xf>
    <xf numFmtId="0" fontId="3" fillId="0" borderId="22" xfId="0" applyFont="1" applyFill="1" applyBorder="1" applyAlignment="1">
      <alignment/>
    </xf>
    <xf numFmtId="0" fontId="79" fillId="0" borderId="14" xfId="0" applyFont="1" applyFill="1" applyBorder="1" applyAlignment="1">
      <alignment/>
    </xf>
    <xf numFmtId="165" fontId="2" fillId="11" borderId="15" xfId="0" applyNumberFormat="1" applyFont="1" applyFill="1" applyBorder="1" applyAlignment="1" applyProtection="1">
      <alignment/>
      <protection/>
    </xf>
    <xf numFmtId="0" fontId="2" fillId="0" borderId="0" xfId="0" applyFont="1" applyFill="1" applyBorder="1" applyAlignment="1">
      <alignment horizontal="left"/>
    </xf>
    <xf numFmtId="0" fontId="2" fillId="0" borderId="0" xfId="0" applyFont="1" applyFill="1" applyBorder="1" applyAlignment="1" applyProtection="1">
      <alignment/>
      <protection locked="0"/>
    </xf>
    <xf numFmtId="0" fontId="2" fillId="0" borderId="0" xfId="0" applyFont="1" applyFill="1" applyBorder="1" applyAlignment="1">
      <alignment/>
    </xf>
    <xf numFmtId="0" fontId="2" fillId="0" borderId="0" xfId="0" applyFont="1" applyFill="1" applyBorder="1" applyAlignment="1" applyProtection="1">
      <alignment/>
      <protection/>
    </xf>
    <xf numFmtId="0" fontId="2" fillId="35" borderId="0" xfId="0" applyFont="1" applyFill="1" applyBorder="1" applyAlignment="1" applyProtection="1">
      <alignment/>
      <protection/>
    </xf>
    <xf numFmtId="0" fontId="13" fillId="35" borderId="0" xfId="0" applyFont="1" applyFill="1" applyBorder="1" applyAlignment="1" applyProtection="1">
      <alignment/>
      <protection/>
    </xf>
    <xf numFmtId="0" fontId="2" fillId="35" borderId="0" xfId="0" applyFont="1" applyFill="1" applyBorder="1" applyAlignment="1" applyProtection="1">
      <alignment/>
      <protection/>
    </xf>
    <xf numFmtId="0" fontId="2" fillId="11" borderId="17" xfId="0" applyFont="1" applyFill="1" applyBorder="1" applyAlignment="1" applyProtection="1">
      <alignment/>
      <protection/>
    </xf>
    <xf numFmtId="0" fontId="2" fillId="11" borderId="16" xfId="0" applyFont="1" applyFill="1" applyBorder="1" applyAlignment="1" applyProtection="1">
      <alignment/>
      <protection/>
    </xf>
    <xf numFmtId="0" fontId="2" fillId="11" borderId="18" xfId="0" applyFont="1" applyFill="1" applyBorder="1" applyAlignment="1" applyProtection="1">
      <alignment/>
      <protection/>
    </xf>
    <xf numFmtId="0" fontId="5" fillId="11" borderId="17" xfId="0" applyFont="1" applyFill="1" applyBorder="1" applyAlignment="1" applyProtection="1">
      <alignment/>
      <protection/>
    </xf>
    <xf numFmtId="0" fontId="5" fillId="11" borderId="16" xfId="0" applyFont="1" applyFill="1" applyBorder="1" applyAlignment="1" applyProtection="1">
      <alignment horizontal="right"/>
      <protection/>
    </xf>
    <xf numFmtId="0" fontId="2" fillId="11" borderId="19" xfId="0" applyFont="1" applyFill="1" applyBorder="1" applyAlignment="1" applyProtection="1">
      <alignment/>
      <protection/>
    </xf>
    <xf numFmtId="3" fontId="2" fillId="11" borderId="20" xfId="42" applyNumberFormat="1" applyFont="1" applyFill="1" applyBorder="1" applyAlignment="1" applyProtection="1">
      <alignment/>
      <protection/>
    </xf>
    <xf numFmtId="0" fontId="2" fillId="11" borderId="0" xfId="0" applyFont="1" applyFill="1" applyBorder="1" applyAlignment="1" applyProtection="1">
      <alignment horizontal="right"/>
      <protection/>
    </xf>
    <xf numFmtId="166" fontId="2" fillId="11" borderId="20" xfId="0" applyNumberFormat="1" applyFont="1" applyFill="1" applyBorder="1" applyAlignment="1" applyProtection="1">
      <alignment/>
      <protection/>
    </xf>
    <xf numFmtId="0" fontId="2" fillId="11" borderId="20" xfId="0" applyFont="1" applyFill="1" applyBorder="1" applyAlignment="1" applyProtection="1">
      <alignment/>
      <protection/>
    </xf>
    <xf numFmtId="4" fontId="2" fillId="11" borderId="20" xfId="42" applyNumberFormat="1" applyFont="1" applyFill="1" applyBorder="1" applyAlignment="1" applyProtection="1">
      <alignment/>
      <protection/>
    </xf>
    <xf numFmtId="0" fontId="2" fillId="11" borderId="24" xfId="0" applyFont="1" applyFill="1" applyBorder="1" applyAlignment="1" applyProtection="1">
      <alignment/>
      <protection/>
    </xf>
    <xf numFmtId="0" fontId="2" fillId="11" borderId="22" xfId="0" applyFont="1" applyFill="1" applyBorder="1" applyAlignment="1" applyProtection="1">
      <alignment/>
      <protection/>
    </xf>
    <xf numFmtId="0" fontId="2" fillId="11" borderId="15" xfId="0" applyFont="1" applyFill="1" applyBorder="1" applyAlignment="1" applyProtection="1">
      <alignment/>
      <protection/>
    </xf>
    <xf numFmtId="43" fontId="2" fillId="35" borderId="0" xfId="0" applyNumberFormat="1" applyFont="1" applyFill="1" applyBorder="1" applyAlignment="1" applyProtection="1">
      <alignment/>
      <protection/>
    </xf>
    <xf numFmtId="165" fontId="2" fillId="35" borderId="0" xfId="0" applyNumberFormat="1" applyFont="1" applyFill="1" applyBorder="1" applyAlignment="1" applyProtection="1">
      <alignment/>
      <protection/>
    </xf>
    <xf numFmtId="0" fontId="19" fillId="35" borderId="0" xfId="0" applyFont="1" applyFill="1" applyBorder="1" applyAlignment="1" applyProtection="1">
      <alignment/>
      <protection/>
    </xf>
    <xf numFmtId="0" fontId="3" fillId="0" borderId="25" xfId="0" applyFont="1" applyFill="1" applyBorder="1" applyAlignment="1" applyProtection="1">
      <alignment/>
      <protection locked="0"/>
    </xf>
    <xf numFmtId="0" fontId="25" fillId="0" borderId="11" xfId="0" applyFont="1" applyBorder="1" applyAlignment="1">
      <alignment horizontal="center" wrapText="1"/>
    </xf>
    <xf numFmtId="0" fontId="3" fillId="0" borderId="11" xfId="0" applyFont="1" applyBorder="1" applyAlignment="1">
      <alignment wrapText="1"/>
    </xf>
    <xf numFmtId="1" fontId="3" fillId="32" borderId="14" xfId="0" applyNumberFormat="1" applyFont="1" applyFill="1" applyBorder="1" applyAlignment="1">
      <alignment/>
    </xf>
    <xf numFmtId="1" fontId="3" fillId="32" borderId="0" xfId="0" applyNumberFormat="1" applyFont="1" applyFill="1" applyBorder="1" applyAlignment="1">
      <alignment/>
    </xf>
    <xf numFmtId="1" fontId="3" fillId="32" borderId="15" xfId="0" applyNumberFormat="1" applyFont="1" applyFill="1" applyBorder="1" applyAlignment="1">
      <alignment/>
    </xf>
    <xf numFmtId="0" fontId="4" fillId="0" borderId="0" xfId="0" applyFont="1" applyFill="1" applyBorder="1" applyAlignment="1">
      <alignment vertical="top"/>
    </xf>
    <xf numFmtId="0" fontId="79" fillId="11" borderId="0" xfId="0" applyFont="1" applyFill="1" applyBorder="1" applyAlignment="1">
      <alignment/>
    </xf>
    <xf numFmtId="0" fontId="3" fillId="11" borderId="0" xfId="0" applyFont="1" applyFill="1" applyBorder="1" applyAlignment="1" applyProtection="1">
      <alignment/>
      <protection locked="0"/>
    </xf>
    <xf numFmtId="0" fontId="80" fillId="11" borderId="0" xfId="0" applyFont="1" applyFill="1" applyBorder="1" applyAlignment="1" applyProtection="1">
      <alignment/>
      <protection/>
    </xf>
    <xf numFmtId="0" fontId="80" fillId="11" borderId="15" xfId="0" applyFont="1" applyFill="1" applyBorder="1" applyAlignment="1" applyProtection="1">
      <alignment/>
      <protection/>
    </xf>
    <xf numFmtId="0" fontId="13" fillId="4" borderId="10" xfId="0" applyFont="1" applyFill="1" applyBorder="1" applyAlignment="1">
      <alignment horizontal="center"/>
    </xf>
    <xf numFmtId="0" fontId="10" fillId="0" borderId="13" xfId="0" applyFont="1" applyBorder="1" applyAlignment="1">
      <alignment/>
    </xf>
    <xf numFmtId="0" fontId="5" fillId="11" borderId="16" xfId="0" applyFont="1" applyFill="1" applyBorder="1" applyAlignment="1" applyProtection="1">
      <alignment wrapText="1"/>
      <protection/>
    </xf>
    <xf numFmtId="0" fontId="2" fillId="11" borderId="15" xfId="0" applyFont="1" applyFill="1" applyBorder="1" applyAlignment="1" applyProtection="1">
      <alignment horizontal="right"/>
      <protection/>
    </xf>
    <xf numFmtId="0" fontId="2" fillId="11" borderId="23" xfId="0" applyFont="1" applyFill="1" applyBorder="1" applyAlignment="1" applyProtection="1">
      <alignment/>
      <protection/>
    </xf>
    <xf numFmtId="0" fontId="2" fillId="11" borderId="14" xfId="0" applyFont="1" applyFill="1" applyBorder="1" applyAlignment="1" applyProtection="1">
      <alignment/>
      <protection/>
    </xf>
    <xf numFmtId="0" fontId="2" fillId="11" borderId="21" xfId="0" applyFont="1" applyFill="1" applyBorder="1" applyAlignment="1" applyProtection="1">
      <alignment/>
      <protection/>
    </xf>
    <xf numFmtId="0" fontId="2" fillId="11" borderId="23" xfId="0" applyFont="1" applyFill="1" applyBorder="1" applyAlignment="1" applyProtection="1">
      <alignment horizontal="left"/>
      <protection/>
    </xf>
    <xf numFmtId="0" fontId="80" fillId="11" borderId="14" xfId="0" applyFont="1" applyFill="1" applyBorder="1" applyAlignment="1" applyProtection="1">
      <alignment/>
      <protection/>
    </xf>
    <xf numFmtId="0" fontId="5" fillId="11" borderId="18" xfId="0" applyNumberFormat="1" applyFont="1" applyFill="1" applyBorder="1" applyAlignment="1" applyProtection="1">
      <alignment/>
      <protection/>
    </xf>
    <xf numFmtId="0" fontId="5" fillId="11" borderId="18" xfId="0" applyNumberFormat="1" applyFont="1" applyFill="1" applyBorder="1" applyAlignment="1" applyProtection="1">
      <alignment horizontal="right"/>
      <protection/>
    </xf>
    <xf numFmtId="0" fontId="5" fillId="11" borderId="18" xfId="0" applyFont="1" applyFill="1" applyBorder="1" applyAlignment="1" applyProtection="1">
      <alignment wrapText="1"/>
      <protection/>
    </xf>
    <xf numFmtId="0" fontId="81" fillId="0" borderId="0" xfId="24" applyFont="1" applyFill="1" applyBorder="1" applyAlignment="1">
      <alignment horizontal="right"/>
    </xf>
    <xf numFmtId="0" fontId="4" fillId="7" borderId="17" xfId="0" applyFont="1" applyFill="1" applyBorder="1" applyAlignment="1">
      <alignment/>
    </xf>
    <xf numFmtId="0" fontId="3" fillId="7" borderId="18" xfId="0" applyFont="1" applyFill="1" applyBorder="1" applyAlignment="1">
      <alignment/>
    </xf>
    <xf numFmtId="0" fontId="79" fillId="0" borderId="0" xfId="0" applyFont="1" applyFill="1" applyBorder="1" applyAlignment="1">
      <alignment/>
    </xf>
    <xf numFmtId="165" fontId="3" fillId="8" borderId="15" xfId="0" applyNumberFormat="1" applyFont="1" applyFill="1" applyBorder="1" applyAlignment="1">
      <alignment/>
    </xf>
    <xf numFmtId="0" fontId="4" fillId="32" borderId="20" xfId="0" applyFont="1" applyFill="1" applyBorder="1" applyAlignment="1">
      <alignment/>
    </xf>
    <xf numFmtId="0" fontId="4" fillId="32" borderId="17" xfId="0" applyFont="1" applyFill="1" applyBorder="1" applyAlignment="1">
      <alignment/>
    </xf>
    <xf numFmtId="0" fontId="4" fillId="32" borderId="18" xfId="0" applyFont="1" applyFill="1" applyBorder="1" applyAlignment="1">
      <alignment/>
    </xf>
    <xf numFmtId="0" fontId="4" fillId="33" borderId="17" xfId="0" applyFont="1" applyFill="1" applyBorder="1" applyAlignment="1">
      <alignment/>
    </xf>
    <xf numFmtId="0" fontId="3" fillId="33" borderId="16" xfId="0" applyFont="1" applyFill="1" applyBorder="1" applyAlignment="1">
      <alignment/>
    </xf>
    <xf numFmtId="0" fontId="3" fillId="33" borderId="18" xfId="0" applyFont="1" applyFill="1" applyBorder="1" applyAlignment="1">
      <alignment/>
    </xf>
    <xf numFmtId="0" fontId="3" fillId="7" borderId="17" xfId="0" applyFont="1" applyFill="1" applyBorder="1" applyAlignment="1">
      <alignment/>
    </xf>
    <xf numFmtId="0" fontId="3" fillId="0" borderId="17" xfId="0" applyFont="1" applyFill="1" applyBorder="1" applyAlignment="1" applyProtection="1">
      <alignment/>
      <protection locked="0"/>
    </xf>
    <xf numFmtId="0" fontId="3" fillId="0" borderId="18" xfId="0" applyFont="1" applyFill="1" applyBorder="1" applyAlignment="1" applyProtection="1">
      <alignment/>
      <protection locked="0"/>
    </xf>
    <xf numFmtId="164" fontId="3" fillId="0" borderId="14" xfId="0" applyNumberFormat="1" applyFont="1" applyFill="1" applyBorder="1" applyAlignment="1" applyProtection="1">
      <alignment/>
      <protection locked="0"/>
    </xf>
    <xf numFmtId="164" fontId="3" fillId="0" borderId="0" xfId="0" applyNumberFormat="1" applyFont="1" applyFill="1" applyBorder="1" applyAlignment="1" applyProtection="1">
      <alignment/>
      <protection locked="0"/>
    </xf>
    <xf numFmtId="174" fontId="3" fillId="8" borderId="0" xfId="0" applyNumberFormat="1" applyFont="1" applyFill="1" applyBorder="1" applyAlignment="1">
      <alignment/>
    </xf>
    <xf numFmtId="175" fontId="3" fillId="8" borderId="0" xfId="0" applyNumberFormat="1" applyFont="1" applyFill="1" applyBorder="1" applyAlignment="1">
      <alignment/>
    </xf>
    <xf numFmtId="174" fontId="3" fillId="36" borderId="0" xfId="0" applyNumberFormat="1" applyFont="1" applyFill="1" applyBorder="1" applyAlignment="1">
      <alignment/>
    </xf>
    <xf numFmtId="0" fontId="3" fillId="19" borderId="0" xfId="0" applyFont="1" applyFill="1" applyBorder="1" applyAlignment="1">
      <alignment/>
    </xf>
    <xf numFmtId="0" fontId="3" fillId="19" borderId="0" xfId="0" applyFont="1" applyFill="1" applyBorder="1" applyAlignment="1" quotePrefix="1">
      <alignment/>
    </xf>
    <xf numFmtId="0" fontId="4" fillId="16" borderId="16" xfId="0" applyFont="1" applyFill="1" applyBorder="1" applyAlignment="1">
      <alignment/>
    </xf>
    <xf numFmtId="0" fontId="5" fillId="11" borderId="16" xfId="0" applyFont="1" applyFill="1" applyBorder="1" applyAlignment="1" applyProtection="1">
      <alignment/>
      <protection/>
    </xf>
    <xf numFmtId="0" fontId="3" fillId="0" borderId="0" xfId="0" applyFont="1" applyBorder="1" applyAlignment="1">
      <alignment horizontal="center"/>
    </xf>
    <xf numFmtId="0" fontId="4" fillId="33" borderId="0" xfId="0" applyFont="1" applyFill="1" applyBorder="1" applyAlignment="1">
      <alignment horizontal="center"/>
    </xf>
    <xf numFmtId="0" fontId="4" fillId="0" borderId="0" xfId="0" applyFont="1" applyFill="1" applyBorder="1" applyAlignment="1">
      <alignment vertical="top" wrapText="1"/>
    </xf>
    <xf numFmtId="0" fontId="3" fillId="0" borderId="0" xfId="0" applyFont="1" applyFill="1" applyBorder="1" applyAlignment="1">
      <alignment/>
    </xf>
    <xf numFmtId="3" fontId="2" fillId="11" borderId="22" xfId="42" applyNumberFormat="1" applyFont="1" applyFill="1" applyBorder="1" applyAlignment="1" applyProtection="1">
      <alignment/>
      <protection/>
    </xf>
    <xf numFmtId="166" fontId="2" fillId="11" borderId="22" xfId="0"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1"/>
          <c:y val="0.2075"/>
          <c:w val="0.467"/>
          <c:h val="0.61"/>
        </c:manualLayout>
      </c:layout>
      <c:pieChart>
        <c:varyColors val="1"/>
        <c:ser>
          <c:idx val="0"/>
          <c:order val="0"/>
          <c:spPr>
            <a:solidFill>
              <a:srgbClr val="9999FF"/>
            </a:solidFill>
            <a:ln w="12700">
              <a:solidFill>
                <a:srgbClr val="000000"/>
              </a:solid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99CC00"/>
              </a:solidFill>
              <a:ln w="12700">
                <a:solidFill>
                  <a:srgbClr val="000000"/>
                </a:solidFill>
              </a:ln>
            </c:spPr>
          </c:dPt>
          <c:dPt>
            <c:idx val="1"/>
            <c:spPr>
              <a:solidFill>
                <a:srgbClr val="FFFF00"/>
              </a:solidFill>
              <a:ln w="12700">
                <a:solidFill>
                  <a:srgbClr val="000000"/>
                </a:solidFill>
              </a:ln>
            </c:spPr>
          </c:dPt>
          <c:dPt>
            <c:idx val="2"/>
            <c:spPr>
              <a:solidFill>
                <a:srgbClr val="FF0000"/>
              </a:solidFill>
              <a:ln w="12700">
                <a:solidFill>
                  <a:srgbClr val="000000"/>
                </a:solidFill>
              </a:ln>
            </c:spPr>
          </c:dPt>
          <c:dPt>
            <c:idx val="3"/>
            <c:spPr>
              <a:solidFill>
                <a:srgbClr val="0000FF"/>
              </a:solidFill>
              <a:ln w="12700">
                <a:solidFill>
                  <a:srgbClr val="000000"/>
                </a:solidFill>
              </a:ln>
            </c:spPr>
          </c:dPt>
          <c:dPt>
            <c:idx val="4"/>
            <c:spPr>
              <a:pattFill prst="dkHorz">
                <a:fgClr>
                  <a:srgbClr val="00FFFF"/>
                </a:fgClr>
                <a:bgClr>
                  <a:srgbClr val="FFFFFF"/>
                </a:bgClr>
              </a:pattFill>
              <a:ln w="12700">
                <a:solidFill>
                  <a:srgbClr val="000000"/>
                </a:solidFill>
              </a:ln>
            </c:spPr>
          </c:dPt>
          <c:dPt>
            <c:idx val="5"/>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5"/>
              <c:txPr>
                <a:bodyPr vert="horz" rot="0" anchor="ctr"/>
                <a:lstStyle/>
                <a:p>
                  <a:pPr algn="ctr">
                    <a:defRPr lang="en-US" cap="none" sz="900" b="0" i="0" u="none" baseline="0">
                      <a:solidFill>
                        <a:srgbClr val="000000"/>
                      </a:solidFill>
                    </a:defRPr>
                  </a:pPr>
                </a:p>
              </c:txPr>
              <c:numFmt formatCode="0%" sourceLinked="0"/>
              <c:spPr>
                <a:noFill/>
                <a:ln w="3175">
                  <a:noFill/>
                </a:ln>
              </c:spPr>
              <c:dLblPos val="bestFit"/>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'Data summary'!$L$4:$L$9</c:f>
              <c:strCache/>
            </c:strRef>
          </c:cat>
          <c:val>
            <c:numRef>
              <c:f>'Data summary'!$M$4:$M$9</c:f>
              <c:numCache/>
            </c:numRef>
          </c:val>
        </c:ser>
        <c:firstSliceAng val="349"/>
      </c:pieChart>
      <c:spPr>
        <a:noFill/>
        <a:ln>
          <a:noFill/>
        </a:ln>
      </c:spPr>
    </c:plotArea>
    <c:plotVisOnly val="1"/>
    <c:dispBlanksAs val="zero"/>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5"/>
          <c:y val="0.2915"/>
          <c:w val="0.5875"/>
          <c:h val="0.65575"/>
        </c:manualLayout>
      </c:layout>
      <c:pieChart>
        <c:varyColors val="1"/>
        <c:ser>
          <c:idx val="0"/>
          <c:order val="0"/>
          <c:spPr>
            <a:solidFill>
              <a:srgbClr val="9999FF"/>
            </a:solidFill>
            <a:ln w="12700">
              <a:solidFill>
                <a:srgbClr val="000000"/>
              </a:solid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99CC00"/>
              </a:solidFill>
              <a:ln w="12700">
                <a:solidFill>
                  <a:srgbClr val="000000"/>
                </a:solidFill>
              </a:ln>
            </c:spPr>
          </c:dPt>
          <c:dPt>
            <c:idx val="1"/>
            <c:spPr>
              <a:solidFill>
                <a:srgbClr val="FFFF00"/>
              </a:solidFill>
              <a:ln w="12700">
                <a:solidFill>
                  <a:srgbClr val="000000"/>
                </a:solidFill>
              </a:ln>
            </c:spPr>
          </c:dPt>
          <c:dPt>
            <c:idx val="2"/>
            <c:spPr>
              <a:solidFill>
                <a:srgbClr val="33CCCC"/>
              </a:solidFill>
              <a:ln w="12700">
                <a:solidFill>
                  <a:srgbClr val="000000"/>
                </a:solidFill>
              </a:ln>
            </c:spPr>
          </c:dPt>
          <c:dLbls>
            <c:dLbl>
              <c:idx val="0"/>
              <c:layout>
                <c:manualLayout>
                  <c:x val="0"/>
                  <c:y val="0"/>
                </c:manualLayout>
              </c:layout>
              <c:txPr>
                <a:bodyPr vert="horz" rot="0" anchor="ctr"/>
                <a:lstStyle/>
                <a:p>
                  <a:pPr algn="ctr">
                    <a:defRPr lang="en-US" cap="none" sz="6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600" b="0" i="0" u="none" baseline="0">
                    <a:solidFill>
                      <a:srgbClr val="000000"/>
                    </a:solidFill>
                  </a:defRPr>
                </a:pPr>
              </a:p>
            </c:txPr>
            <c:dLblPos val="inEnd"/>
            <c:showLegendKey val="0"/>
            <c:showVal val="0"/>
            <c:showBubbleSize val="0"/>
            <c:showCatName val="1"/>
            <c:showSerName val="0"/>
            <c:showLeaderLines val="1"/>
            <c:showPercent val="1"/>
          </c:dLbls>
          <c:cat>
            <c:strRef>
              <c:f>'Data summary'!$N$4:$N$6</c:f>
              <c:strCache/>
            </c:strRef>
          </c:cat>
          <c:val>
            <c:numRef>
              <c:f>'Data summary'!$O$4:$O$6</c:f>
              <c:numCache/>
            </c:numRef>
          </c:val>
        </c:ser>
      </c:pieChart>
      <c:spPr>
        <a:noFill/>
        <a:ln>
          <a:noFill/>
        </a:ln>
      </c:spPr>
    </c:plotArea>
    <c:plotVisOnly val="1"/>
    <c:dispBlanksAs val="zero"/>
    <c:showDLblsOverMax val="0"/>
  </c:chart>
  <c:spPr>
    <a:noFill/>
    <a:ln w="3175">
      <a:noFill/>
    </a:ln>
  </c:spPr>
  <c:txPr>
    <a:bodyPr vert="horz" rot="0"/>
    <a:lstStyle/>
    <a:p>
      <a:pPr>
        <a:defRPr lang="en-US" cap="none" sz="4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Carbon sequestration for forests</a:t>
            </a:r>
          </a:p>
        </c:rich>
      </c:tx>
      <c:layout>
        <c:manualLayout>
          <c:xMode val="factor"/>
          <c:yMode val="factor"/>
          <c:x val="-0.00125"/>
          <c:y val="-0.01175"/>
        </c:manualLayout>
      </c:layout>
      <c:spPr>
        <a:noFill/>
        <a:ln w="3175">
          <a:noFill/>
        </a:ln>
      </c:spPr>
    </c:title>
    <c:plotArea>
      <c:layout>
        <c:manualLayout>
          <c:xMode val="edge"/>
          <c:yMode val="edge"/>
          <c:x val="0.03825"/>
          <c:y val="-0.01275"/>
          <c:w val="0.82775"/>
          <c:h val="0.9425"/>
        </c:manualLayout>
      </c:layout>
      <c:lineChart>
        <c:grouping val="standard"/>
        <c:varyColors val="0"/>
        <c:ser>
          <c:idx val="0"/>
          <c:order val="0"/>
          <c:tx>
            <c:strRef>
              <c:f>Trees!$B$4</c:f>
              <c:strCache>
                <c:ptCount val="1"/>
                <c:pt idx="0">
                  <c:v>High</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Trees!$C$3:$AG$3</c:f>
              <c:numCache/>
            </c:numRef>
          </c:cat>
          <c:val>
            <c:numRef>
              <c:f>Trees!$C$4:$AG$4</c:f>
              <c:numCache/>
            </c:numRef>
          </c:val>
          <c:smooth val="0"/>
        </c:ser>
        <c:ser>
          <c:idx val="1"/>
          <c:order val="1"/>
          <c:tx>
            <c:strRef>
              <c:f>Trees!$B$5</c:f>
              <c:strCache>
                <c:ptCount val="1"/>
                <c:pt idx="0">
                  <c:v>Med-High</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Trees!$C$3:$AG$3</c:f>
              <c:numCache/>
            </c:numRef>
          </c:cat>
          <c:val>
            <c:numRef>
              <c:f>Trees!$C$5:$AG$5</c:f>
              <c:numCache/>
            </c:numRef>
          </c:val>
          <c:smooth val="0"/>
        </c:ser>
        <c:ser>
          <c:idx val="2"/>
          <c:order val="2"/>
          <c:tx>
            <c:strRef>
              <c:f>Trees!$B$6</c:f>
              <c:strCache>
                <c:ptCount val="1"/>
                <c:pt idx="0">
                  <c:v>Med</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Trees!$C$3:$AG$3</c:f>
              <c:numCache/>
            </c:numRef>
          </c:cat>
          <c:val>
            <c:numRef>
              <c:f>Trees!$C$6:$AG$6</c:f>
              <c:numCache/>
            </c:numRef>
          </c:val>
          <c:smooth val="0"/>
        </c:ser>
        <c:ser>
          <c:idx val="3"/>
          <c:order val="3"/>
          <c:tx>
            <c:strRef>
              <c:f>Trees!$B$7</c:f>
              <c:strCache>
                <c:ptCount val="1"/>
                <c:pt idx="0">
                  <c:v>Med-Low</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Ref>
              <c:f>Trees!$C$3:$AG$3</c:f>
              <c:numCache/>
            </c:numRef>
          </c:cat>
          <c:val>
            <c:numRef>
              <c:f>Trees!$C$7:$AG$7</c:f>
              <c:numCache/>
            </c:numRef>
          </c:val>
          <c:smooth val="0"/>
        </c:ser>
        <c:ser>
          <c:idx val="4"/>
          <c:order val="4"/>
          <c:tx>
            <c:strRef>
              <c:f>Trees!$B$8</c:f>
              <c:strCache>
                <c:ptCount val="1"/>
                <c:pt idx="0">
                  <c:v>Low</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numRef>
              <c:f>Trees!$C$3:$AG$3</c:f>
              <c:numCache/>
            </c:numRef>
          </c:cat>
          <c:val>
            <c:numRef>
              <c:f>Trees!$C$8:$AG$8</c:f>
              <c:numCache/>
            </c:numRef>
          </c:val>
          <c:smooth val="0"/>
        </c:ser>
        <c:marker val="1"/>
        <c:axId val="14223274"/>
        <c:axId val="60900603"/>
      </c:lineChart>
      <c:catAx>
        <c:axId val="14223274"/>
        <c:scaling>
          <c:orientation val="minMax"/>
        </c:scaling>
        <c:axPos val="b"/>
        <c:title>
          <c:tx>
            <c:rich>
              <a:bodyPr vert="horz" rot="0" anchor="ctr"/>
              <a:lstStyle/>
              <a:p>
                <a:pPr algn="ctr">
                  <a:defRPr/>
                </a:pPr>
                <a:r>
                  <a:rPr lang="en-US" cap="none" sz="1200" b="1" i="0" u="none" baseline="0">
                    <a:solidFill>
                      <a:srgbClr val="000000"/>
                    </a:solidFill>
                  </a:rPr>
                  <a:t>Years</a:t>
                </a:r>
              </a:p>
            </c:rich>
          </c:tx>
          <c:layout>
            <c:manualLayout>
              <c:xMode val="factor"/>
              <c:yMode val="factor"/>
              <c:x val="-0.005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0900603"/>
        <c:crosses val="autoZero"/>
        <c:auto val="1"/>
        <c:lblOffset val="100"/>
        <c:tickLblSkip val="1"/>
        <c:noMultiLvlLbl val="0"/>
      </c:catAx>
      <c:valAx>
        <c:axId val="60900603"/>
        <c:scaling>
          <c:orientation val="minMax"/>
        </c:scaling>
        <c:axPos val="l"/>
        <c:title>
          <c:tx>
            <c:rich>
              <a:bodyPr vert="horz" rot="-5400000" anchor="ctr"/>
              <a:lstStyle/>
              <a:p>
                <a:pPr algn="ctr">
                  <a:defRPr/>
                </a:pPr>
                <a:r>
                  <a:rPr lang="en-US" cap="none" sz="1200" b="1" i="0" u="none" baseline="0">
                    <a:solidFill>
                      <a:srgbClr val="000000"/>
                    </a:solidFill>
                  </a:rPr>
                  <a:t>t CO2-e/ha (Inc. trees &amp; debris)</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223274"/>
        <c:crossesAt val="1"/>
        <c:crossBetween val="between"/>
        <c:dispUnits/>
      </c:valAx>
      <c:spPr>
        <a:noFill/>
        <a:ln>
          <a:noFill/>
        </a:ln>
      </c:spPr>
    </c:plotArea>
    <c:legend>
      <c:legendPos val="r"/>
      <c:layout>
        <c:manualLayout>
          <c:xMode val="edge"/>
          <c:yMode val="edge"/>
          <c:x val="0.874"/>
          <c:y val="0.30825"/>
          <c:w val="0.119"/>
          <c:h val="0.36925"/>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6000750</xdr:colOff>
      <xdr:row>10</xdr:row>
      <xdr:rowOff>171450</xdr:rowOff>
    </xdr:from>
    <xdr:to>
      <xdr:col>2</xdr:col>
      <xdr:colOff>0</xdr:colOff>
      <xdr:row>13</xdr:row>
      <xdr:rowOff>180975</xdr:rowOff>
    </xdr:to>
    <xdr:sp>
      <xdr:nvSpPr>
        <xdr:cNvPr id="1" name="AutoShape 42"/>
        <xdr:cNvSpPr>
          <a:spLocks/>
        </xdr:cNvSpPr>
      </xdr:nvSpPr>
      <xdr:spPr>
        <a:xfrm flipH="1">
          <a:off x="6162675" y="5238750"/>
          <a:ext cx="3552825" cy="762000"/>
        </a:xfrm>
        <a:prstGeom prst="roundRect">
          <a:avLst/>
        </a:prstGeom>
        <a:solidFill>
          <a:srgbClr val="FFFF00"/>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Richard Eckard, Roger Hegarty and Geoff Thomas (2008). Beef Greenhouse Accounting Framework. Project no: UM10778 - </a:t>
          </a:r>
          <a:r>
            <a:rPr lang="en-US" cap="none" sz="1000" b="1" i="0" u="none" baseline="0">
              <a:solidFill>
                <a:srgbClr val="000000"/>
              </a:solidFill>
            </a:rPr>
            <a:t>Updated </a:t>
          </a:r>
          <a:r>
            <a:rPr lang="en-US" cap="none" sz="1000" b="0" i="0" u="none" baseline="0">
              <a:solidFill>
                <a:srgbClr val="000000"/>
              </a:solidFill>
            </a:rPr>
            <a:t>by Seyda Ozkan and Richard Eckard in</a:t>
          </a:r>
          <a:r>
            <a:rPr lang="en-US" cap="none" sz="1000" b="1" i="0" u="none" baseline="0">
              <a:solidFill>
                <a:srgbClr val="000000"/>
              </a:solidFill>
            </a:rPr>
            <a:t> May 2012</a:t>
          </a:r>
          <a:r>
            <a:rPr lang="en-US" cap="none" sz="1000" b="0" i="0" u="none" baseline="0">
              <a:solidFill>
                <a:srgbClr val="000000"/>
              </a:solidFill>
            </a:rPr>
            <a:t>. http://www.greenhouse.unimelb.edu.au/Tools.htm</a:t>
          </a:r>
        </a:p>
      </xdr:txBody>
    </xdr:sp>
    <xdr:clientData/>
  </xdr:twoCellAnchor>
  <xdr:twoCellAnchor editAs="oneCell">
    <xdr:from>
      <xdr:col>1</xdr:col>
      <xdr:colOff>9010650</xdr:colOff>
      <xdr:row>1</xdr:row>
      <xdr:rowOff>552450</xdr:rowOff>
    </xdr:from>
    <xdr:to>
      <xdr:col>1</xdr:col>
      <xdr:colOff>9553575</xdr:colOff>
      <xdr:row>1</xdr:row>
      <xdr:rowOff>552450</xdr:rowOff>
    </xdr:to>
    <xdr:pic>
      <xdr:nvPicPr>
        <xdr:cNvPr id="2" name="Picture 33" descr="MINCMYK"/>
        <xdr:cNvPicPr preferRelativeResize="1">
          <a:picLocks noChangeAspect="1"/>
        </xdr:cNvPicPr>
      </xdr:nvPicPr>
      <xdr:blipFill>
        <a:blip r:embed="rId1"/>
        <a:stretch>
          <a:fillRect/>
        </a:stretch>
      </xdr:blipFill>
      <xdr:spPr>
        <a:xfrm>
          <a:off x="9172575" y="942975"/>
          <a:ext cx="542925" cy="0"/>
        </a:xfrm>
        <a:prstGeom prst="rect">
          <a:avLst/>
        </a:prstGeom>
        <a:noFill/>
        <a:ln w="9525" cmpd="sng">
          <a:solidFill>
            <a:srgbClr val="000000"/>
          </a:solidFill>
          <a:headEnd type="none"/>
          <a:tailEnd type="none"/>
        </a:ln>
      </xdr:spPr>
    </xdr:pic>
    <xdr:clientData/>
  </xdr:twoCellAnchor>
  <xdr:twoCellAnchor editAs="oneCell">
    <xdr:from>
      <xdr:col>1</xdr:col>
      <xdr:colOff>8743950</xdr:colOff>
      <xdr:row>1</xdr:row>
      <xdr:rowOff>476250</xdr:rowOff>
    </xdr:from>
    <xdr:to>
      <xdr:col>1</xdr:col>
      <xdr:colOff>9553575</xdr:colOff>
      <xdr:row>1</xdr:row>
      <xdr:rowOff>1371600</xdr:rowOff>
    </xdr:to>
    <xdr:pic>
      <xdr:nvPicPr>
        <xdr:cNvPr id="3" name="Picture 33" descr="MINCMYK"/>
        <xdr:cNvPicPr preferRelativeResize="1">
          <a:picLocks noChangeAspect="1"/>
        </xdr:cNvPicPr>
      </xdr:nvPicPr>
      <xdr:blipFill>
        <a:blip r:embed="rId1"/>
        <a:stretch>
          <a:fillRect/>
        </a:stretch>
      </xdr:blipFill>
      <xdr:spPr>
        <a:xfrm>
          <a:off x="8905875" y="866775"/>
          <a:ext cx="809625" cy="895350"/>
        </a:xfrm>
        <a:prstGeom prst="rect">
          <a:avLst/>
        </a:prstGeom>
        <a:noFill/>
        <a:ln w="9525" cmpd="sng">
          <a:solidFill>
            <a:srgbClr val="000000"/>
          </a:solidFill>
          <a:headEnd type="none"/>
          <a:tailEnd type="none"/>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0.005</cdr:y>
    </cdr:from>
    <cdr:to>
      <cdr:x>0.86375</cdr:x>
      <cdr:y>0.29225</cdr:y>
    </cdr:to>
    <cdr:sp>
      <cdr:nvSpPr>
        <cdr:cNvPr id="1" name="Text Box 1"/>
        <cdr:cNvSpPr txBox="1">
          <a:spLocks noChangeArrowheads="1"/>
        </cdr:cNvSpPr>
      </cdr:nvSpPr>
      <cdr:spPr>
        <a:xfrm>
          <a:off x="0" y="0"/>
          <a:ext cx="1419225" cy="428625"/>
        </a:xfrm>
        <a:prstGeom prst="rect">
          <a:avLst/>
        </a:prstGeom>
        <a:noFill/>
        <a:ln w="9525" cmpd="sng">
          <a:noFill/>
        </a:ln>
      </cdr:spPr>
      <cdr:txBody>
        <a:bodyPr vertOverflow="clip" wrap="square" lIns="27432" tIns="18288" rIns="27432" bIns="0"/>
        <a:p>
          <a:pPr algn="ctr">
            <a:defRPr/>
          </a:pPr>
          <a:r>
            <a:rPr lang="en-US" cap="none" sz="800" b="1" i="0" u="none" baseline="0">
              <a:solidFill>
                <a:srgbClr val="000000"/>
              </a:solidFill>
              <a:latin typeface="Times New Roman"/>
              <a:ea typeface="Times New Roman"/>
              <a:cs typeface="Times New Roman"/>
            </a:rPr>
            <a:t>Greenhouse Gas Profile
</a:t>
          </a:r>
          <a:r>
            <a:rPr lang="en-US" cap="none" sz="800" b="1" i="0" u="none" baseline="0">
              <a:solidFill>
                <a:srgbClr val="000000"/>
              </a:solidFill>
              <a:latin typeface="Times New Roman"/>
              <a:ea typeface="Times New Roman"/>
              <a:cs typeface="Times New Roman"/>
            </a:rPr>
            <a:t>Summary</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11</xdr:row>
      <xdr:rowOff>28575</xdr:rowOff>
    </xdr:from>
    <xdr:to>
      <xdr:col>14</xdr:col>
      <xdr:colOff>561975</xdr:colOff>
      <xdr:row>48</xdr:row>
      <xdr:rowOff>85725</xdr:rowOff>
    </xdr:to>
    <xdr:graphicFrame>
      <xdr:nvGraphicFramePr>
        <xdr:cNvPr id="1" name="Chart 13"/>
        <xdr:cNvGraphicFramePr/>
      </xdr:nvGraphicFramePr>
      <xdr:xfrm>
        <a:off x="7219950" y="2543175"/>
        <a:ext cx="4067175" cy="3133725"/>
      </xdr:xfrm>
      <a:graphic>
        <a:graphicData uri="http://schemas.openxmlformats.org/drawingml/2006/chart">
          <c:chart xmlns:c="http://schemas.openxmlformats.org/drawingml/2006/chart" r:id="rId1"/>
        </a:graphicData>
      </a:graphic>
    </xdr:graphicFrame>
    <xdr:clientData/>
  </xdr:twoCellAnchor>
  <xdr:twoCellAnchor>
    <xdr:from>
      <xdr:col>13</xdr:col>
      <xdr:colOff>104775</xdr:colOff>
      <xdr:row>6</xdr:row>
      <xdr:rowOff>123825</xdr:rowOff>
    </xdr:from>
    <xdr:to>
      <xdr:col>15</xdr:col>
      <xdr:colOff>85725</xdr:colOff>
      <xdr:row>13</xdr:row>
      <xdr:rowOff>133350</xdr:rowOff>
    </xdr:to>
    <xdr:graphicFrame>
      <xdr:nvGraphicFramePr>
        <xdr:cNvPr id="2" name="Chart 14"/>
        <xdr:cNvGraphicFramePr/>
      </xdr:nvGraphicFramePr>
      <xdr:xfrm>
        <a:off x="10172700" y="1600200"/>
        <a:ext cx="1647825" cy="1485900"/>
      </xdr:xfrm>
      <a:graphic>
        <a:graphicData uri="http://schemas.openxmlformats.org/drawingml/2006/chart">
          <c:chart xmlns:c="http://schemas.openxmlformats.org/drawingml/2006/chart" r:id="rId2"/>
        </a:graphicData>
      </a:graphic>
    </xdr:graphicFrame>
    <xdr:clientData/>
  </xdr:twoCellAnchor>
  <xdr:twoCellAnchor editAs="oneCell">
    <xdr:from>
      <xdr:col>5</xdr:col>
      <xdr:colOff>66675</xdr:colOff>
      <xdr:row>20</xdr:row>
      <xdr:rowOff>142875</xdr:rowOff>
    </xdr:from>
    <xdr:to>
      <xdr:col>6</xdr:col>
      <xdr:colOff>19050</xdr:colOff>
      <xdr:row>23</xdr:row>
      <xdr:rowOff>66675</xdr:rowOff>
    </xdr:to>
    <xdr:pic>
      <xdr:nvPicPr>
        <xdr:cNvPr id="3" name="Picture 33" descr="MINCMYK"/>
        <xdr:cNvPicPr preferRelativeResize="1">
          <a:picLocks noChangeAspect="1"/>
        </xdr:cNvPicPr>
      </xdr:nvPicPr>
      <xdr:blipFill>
        <a:blip r:embed="rId3"/>
        <a:stretch>
          <a:fillRect/>
        </a:stretch>
      </xdr:blipFill>
      <xdr:spPr>
        <a:xfrm>
          <a:off x="4171950" y="4552950"/>
          <a:ext cx="752475" cy="704850"/>
        </a:xfrm>
        <a:prstGeom prst="rect">
          <a:avLst/>
        </a:prstGeom>
        <a:noFill/>
        <a:ln w="9525" cmpd="sng">
          <a:solidFill>
            <a:srgbClr val="000000"/>
          </a:solidFill>
          <a:headEnd type="none"/>
          <a:tailEnd type="none"/>
        </a:ln>
      </xdr:spPr>
    </xdr:pic>
    <xdr:clientData/>
  </xdr:twoCellAnchor>
  <xdr:twoCellAnchor>
    <xdr:from>
      <xdr:col>1</xdr:col>
      <xdr:colOff>123825</xdr:colOff>
      <xdr:row>20</xdr:row>
      <xdr:rowOff>142875</xdr:rowOff>
    </xdr:from>
    <xdr:to>
      <xdr:col>5</xdr:col>
      <xdr:colOff>9525</xdr:colOff>
      <xdr:row>23</xdr:row>
      <xdr:rowOff>114300</xdr:rowOff>
    </xdr:to>
    <xdr:sp>
      <xdr:nvSpPr>
        <xdr:cNvPr id="4" name="AutoShape 42"/>
        <xdr:cNvSpPr>
          <a:spLocks/>
        </xdr:cNvSpPr>
      </xdr:nvSpPr>
      <xdr:spPr>
        <a:xfrm flipH="1">
          <a:off x="276225" y="4552950"/>
          <a:ext cx="3838575" cy="752475"/>
        </a:xfrm>
        <a:prstGeom prst="roundRect">
          <a:avLst/>
        </a:prstGeom>
        <a:solidFill>
          <a:srgbClr val="FFFF00"/>
        </a:solidFill>
        <a:ln w="9525" cmpd="sng">
          <a:solidFill>
            <a:srgbClr val="000000"/>
          </a:solidFill>
          <a:headEnd type="none"/>
          <a:tailEnd type="none"/>
        </a:ln>
      </xdr:spPr>
      <xdr:txBody>
        <a:bodyPr vertOverflow="clip" wrap="square" lIns="27432" tIns="22860" rIns="0" bIns="0"/>
        <a:p>
          <a:pPr algn="ctr">
            <a:defRPr/>
          </a:pPr>
          <a:r>
            <a:rPr lang="en-US" cap="none" sz="1100" b="0" i="0" u="none" baseline="0">
              <a:solidFill>
                <a:srgbClr val="000000"/>
              </a:solidFill>
            </a:rPr>
            <a:t>Richard Eckard, Roger Hegarty and Geoff Thomas (2008) Beef Greenhouse Accounting Framework. Project no: UM10778 - 
</a:t>
          </a:r>
          <a:r>
            <a:rPr lang="en-US" cap="none" sz="1100" b="1" i="0" u="none" baseline="0">
              <a:solidFill>
                <a:srgbClr val="000000"/>
              </a:solidFill>
            </a:rPr>
            <a:t>Updated</a:t>
          </a:r>
          <a:r>
            <a:rPr lang="en-US" cap="none" sz="1100" b="0" i="0" u="none" baseline="0">
              <a:solidFill>
                <a:srgbClr val="000000"/>
              </a:solidFill>
            </a:rPr>
            <a:t> by Seyda Ozkan and Richard Eckard in</a:t>
          </a:r>
          <a:r>
            <a:rPr lang="en-US" cap="none" sz="1100" b="1" i="0" u="none" baseline="0">
              <a:solidFill>
                <a:srgbClr val="000000"/>
              </a:solidFill>
            </a:rPr>
            <a:t> May 2012</a:t>
          </a:r>
          <a:r>
            <a:rPr lang="en-US" cap="none" sz="1100" b="0" i="0" u="none" baseline="0">
              <a:solidFill>
                <a:srgbClr val="000000"/>
              </a:solidFill>
            </a:rPr>
            <a:t>. http://www.greenhouse.unimelb.edu.au/Tools.htm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438150</xdr:colOff>
      <xdr:row>12</xdr:row>
      <xdr:rowOff>9525</xdr:rowOff>
    </xdr:from>
    <xdr:to>
      <xdr:col>19</xdr:col>
      <xdr:colOff>361950</xdr:colOff>
      <xdr:row>28</xdr:row>
      <xdr:rowOff>152400</xdr:rowOff>
    </xdr:to>
    <xdr:pic>
      <xdr:nvPicPr>
        <xdr:cNvPr id="1" name="Picture 35"/>
        <xdr:cNvPicPr preferRelativeResize="1">
          <a:picLocks noChangeAspect="1"/>
        </xdr:cNvPicPr>
      </xdr:nvPicPr>
      <xdr:blipFill>
        <a:blip r:embed="rId1"/>
        <a:stretch>
          <a:fillRect/>
        </a:stretch>
      </xdr:blipFill>
      <xdr:spPr>
        <a:xfrm>
          <a:off x="10467975" y="2571750"/>
          <a:ext cx="4648200" cy="3343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10</xdr:row>
      <xdr:rowOff>57150</xdr:rowOff>
    </xdr:from>
    <xdr:to>
      <xdr:col>20</xdr:col>
      <xdr:colOff>676275</xdr:colOff>
      <xdr:row>27</xdr:row>
      <xdr:rowOff>19050</xdr:rowOff>
    </xdr:to>
    <xdr:graphicFrame>
      <xdr:nvGraphicFramePr>
        <xdr:cNvPr id="1" name="Chart 4"/>
        <xdr:cNvGraphicFramePr/>
      </xdr:nvGraphicFramePr>
      <xdr:xfrm>
        <a:off x="7943850" y="2200275"/>
        <a:ext cx="8324850" cy="3362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limatechange.gov.au/en/publications/greenhouse-acctg/~/media/publications/greenhouse-acctg/NationalInventoryReport-2010-Vol-1.pdf"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4.png"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14"/>
  <sheetViews>
    <sheetView showGridLines="0" zoomScale="80" zoomScaleNormal="80" zoomScalePageLayoutView="0" workbookViewId="0" topLeftCell="A1">
      <selection activeCell="A1" sqref="A1"/>
    </sheetView>
  </sheetViews>
  <sheetFormatPr defaultColWidth="0" defaultRowHeight="17.25" customHeight="1" zeroHeight="1"/>
  <cols>
    <col min="1" max="1" width="2.421875" style="6" customWidth="1"/>
    <col min="2" max="2" width="143.28125" style="6" customWidth="1"/>
    <col min="3" max="16384" width="0" style="6" hidden="1" customWidth="1"/>
  </cols>
  <sheetData>
    <row r="1" spans="1:2" ht="30.75" customHeight="1" thickBot="1">
      <c r="A1" s="5"/>
      <c r="B1" s="293" t="s">
        <v>439</v>
      </c>
    </row>
    <row r="2" spans="1:2" ht="111" thickBot="1">
      <c r="A2" s="5"/>
      <c r="B2" s="294" t="s">
        <v>408</v>
      </c>
    </row>
    <row r="3" spans="1:2" ht="30.75" customHeight="1" thickBot="1">
      <c r="A3" s="5"/>
      <c r="B3" s="7" t="s">
        <v>79</v>
      </c>
    </row>
    <row r="4" spans="1:2" ht="37.5">
      <c r="A4" s="5"/>
      <c r="B4" s="8" t="s">
        <v>414</v>
      </c>
    </row>
    <row r="5" spans="1:2" ht="75">
      <c r="A5" s="5"/>
      <c r="B5" s="9" t="s">
        <v>412</v>
      </c>
    </row>
    <row r="6" spans="1:2" ht="37.5">
      <c r="A6" s="5"/>
      <c r="B6" s="9" t="s">
        <v>130</v>
      </c>
    </row>
    <row r="7" spans="1:2" ht="18.75">
      <c r="A7" s="5"/>
      <c r="B7" s="10" t="s">
        <v>131</v>
      </c>
    </row>
    <row r="8" spans="1:2" ht="18.75">
      <c r="A8" s="5"/>
      <c r="B8" s="9" t="s">
        <v>411</v>
      </c>
    </row>
    <row r="9" spans="1:2" ht="18.75">
      <c r="A9" s="5"/>
      <c r="B9" s="9"/>
    </row>
    <row r="10" spans="1:2" ht="20.25">
      <c r="A10" s="5"/>
      <c r="B10" s="11" t="s">
        <v>84</v>
      </c>
    </row>
    <row r="11" spans="1:2" ht="20.25">
      <c r="A11" s="5"/>
      <c r="B11" s="11" t="s">
        <v>85</v>
      </c>
    </row>
    <row r="12" spans="1:2" ht="20.25">
      <c r="A12" s="5"/>
      <c r="B12" s="11" t="s">
        <v>63</v>
      </c>
    </row>
    <row r="13" spans="1:2" ht="18.75">
      <c r="A13" s="5"/>
      <c r="B13" s="11"/>
    </row>
    <row r="14" spans="1:2" ht="19.5" thickBot="1">
      <c r="A14" s="5"/>
      <c r="B14" s="9"/>
    </row>
    <row r="15" spans="1:2" ht="33" customHeight="1" thickBot="1">
      <c r="A15" s="5"/>
      <c r="B15" s="303" t="s">
        <v>83</v>
      </c>
    </row>
    <row r="16" spans="1:2" ht="75">
      <c r="A16" s="5"/>
      <c r="B16" s="12" t="s">
        <v>140</v>
      </c>
    </row>
    <row r="17" spans="1:2" ht="168.75">
      <c r="A17" s="5"/>
      <c r="B17" s="12" t="s">
        <v>132</v>
      </c>
    </row>
    <row r="18" spans="1:2" ht="78" customHeight="1">
      <c r="A18" s="5"/>
      <c r="B18" s="12" t="s">
        <v>133</v>
      </c>
    </row>
    <row r="19" spans="1:2" ht="80.25" customHeight="1">
      <c r="A19" s="5"/>
      <c r="B19" s="12" t="s">
        <v>134</v>
      </c>
    </row>
    <row r="20" spans="1:2" ht="84" customHeight="1">
      <c r="A20" s="5"/>
      <c r="B20" s="12" t="s">
        <v>415</v>
      </c>
    </row>
    <row r="21" spans="1:2" s="15" customFormat="1" ht="21.75" customHeight="1" thickBot="1">
      <c r="A21" s="13"/>
      <c r="B21" s="14"/>
    </row>
    <row r="22" spans="1:2" ht="30.75" customHeight="1" thickBot="1">
      <c r="A22" s="5"/>
      <c r="B22" s="303" t="s">
        <v>81</v>
      </c>
    </row>
    <row r="23" spans="1:2" ht="20.25">
      <c r="A23" s="5"/>
      <c r="B23" s="16" t="s">
        <v>413</v>
      </c>
    </row>
    <row r="24" spans="1:2" ht="20.25" customHeight="1">
      <c r="A24" s="5"/>
      <c r="B24" s="17" t="s">
        <v>135</v>
      </c>
    </row>
    <row r="25" spans="1:2" ht="21" customHeight="1">
      <c r="A25" s="5"/>
      <c r="B25" s="17" t="s">
        <v>136</v>
      </c>
    </row>
    <row r="26" spans="1:2" ht="18.75">
      <c r="A26" s="5"/>
      <c r="B26" s="17"/>
    </row>
    <row r="27" spans="1:2" ht="122.25" customHeight="1">
      <c r="A27" s="5"/>
      <c r="B27" s="17" t="s">
        <v>416</v>
      </c>
    </row>
    <row r="28" spans="1:2" ht="111.75" customHeight="1">
      <c r="A28" s="5"/>
      <c r="B28" s="17" t="s">
        <v>137</v>
      </c>
    </row>
    <row r="29" spans="1:2" ht="24.75" customHeight="1" thickBot="1">
      <c r="A29" s="5"/>
      <c r="B29" s="19"/>
    </row>
    <row r="30" spans="1:2" ht="33.75" customHeight="1" thickBot="1">
      <c r="A30" s="5"/>
      <c r="B30" s="303" t="s">
        <v>82</v>
      </c>
    </row>
    <row r="31" spans="1:2" ht="20.25">
      <c r="A31" s="5"/>
      <c r="B31" s="16" t="s">
        <v>141</v>
      </c>
    </row>
    <row r="32" spans="1:2" ht="18.75">
      <c r="A32" s="5"/>
      <c r="B32" s="18"/>
    </row>
    <row r="33" spans="1:2" s="15" customFormat="1" ht="19.5" thickBot="1">
      <c r="A33" s="13"/>
      <c r="B33" s="20"/>
    </row>
    <row r="34" spans="1:2" ht="30" customHeight="1" thickBot="1">
      <c r="A34" s="5"/>
      <c r="B34" s="303" t="s">
        <v>138</v>
      </c>
    </row>
    <row r="35" spans="1:2" ht="78" customHeight="1">
      <c r="A35" s="5"/>
      <c r="B35" s="18" t="s">
        <v>139</v>
      </c>
    </row>
    <row r="36" spans="1:2" ht="19.5" thickBot="1">
      <c r="A36" s="5"/>
      <c r="B36" s="304"/>
    </row>
    <row r="37" spans="1:2" ht="18.75" hidden="1">
      <c r="A37" s="5"/>
      <c r="B37" s="21"/>
    </row>
    <row r="38" spans="1:2" ht="18.75" hidden="1">
      <c r="A38" s="5"/>
      <c r="B38" s="21"/>
    </row>
    <row r="39" spans="1:2" ht="18.75" hidden="1">
      <c r="A39" s="5"/>
      <c r="B39" s="21"/>
    </row>
    <row r="40" spans="1:2" ht="18.75" hidden="1">
      <c r="A40" s="5"/>
      <c r="B40" s="21"/>
    </row>
    <row r="41" spans="1:2" ht="18.75" hidden="1">
      <c r="A41" s="5"/>
      <c r="B41" s="21"/>
    </row>
    <row r="42" spans="1:2" ht="18.75" hidden="1">
      <c r="A42" s="5"/>
      <c r="B42" s="21"/>
    </row>
    <row r="43" spans="1:2" ht="18.75" hidden="1">
      <c r="A43" s="5"/>
      <c r="B43" s="21"/>
    </row>
    <row r="44" spans="1:2" ht="18.75" hidden="1">
      <c r="A44" s="5"/>
      <c r="B44" s="21"/>
    </row>
    <row r="45" spans="1:2" ht="18.75" hidden="1">
      <c r="A45" s="5"/>
      <c r="B45" s="21"/>
    </row>
    <row r="46" spans="1:2" ht="18.75" hidden="1">
      <c r="A46" s="5"/>
      <c r="B46" s="21"/>
    </row>
    <row r="47" spans="1:2" ht="18.75" hidden="1">
      <c r="A47" s="5"/>
      <c r="B47" s="21"/>
    </row>
    <row r="48" spans="1:2" ht="18.75" hidden="1">
      <c r="A48" s="5"/>
      <c r="B48" s="21"/>
    </row>
    <row r="49" spans="1:2" ht="18.75" hidden="1">
      <c r="A49" s="5"/>
      <c r="B49" s="21"/>
    </row>
    <row r="50" spans="1:2" ht="18.75" hidden="1">
      <c r="A50" s="5"/>
      <c r="B50" s="21"/>
    </row>
    <row r="51" spans="1:2" ht="18.75" hidden="1">
      <c r="A51" s="5"/>
      <c r="B51" s="21"/>
    </row>
    <row r="52" spans="1:2" ht="18.75" hidden="1">
      <c r="A52" s="5"/>
      <c r="B52" s="21"/>
    </row>
    <row r="53" spans="1:2" ht="18.75" hidden="1">
      <c r="A53" s="5"/>
      <c r="B53" s="21"/>
    </row>
    <row r="54" spans="1:2" ht="18.75" hidden="1">
      <c r="A54" s="5"/>
      <c r="B54" s="21"/>
    </row>
    <row r="55" spans="1:2" ht="18.75" hidden="1">
      <c r="A55" s="5"/>
      <c r="B55" s="21"/>
    </row>
    <row r="56" spans="1:2" ht="18.75" hidden="1">
      <c r="A56" s="5"/>
      <c r="B56" s="21"/>
    </row>
    <row r="57" spans="1:2" ht="18.75" hidden="1">
      <c r="A57" s="5"/>
      <c r="B57" s="21"/>
    </row>
    <row r="58" spans="1:2" ht="18.75" hidden="1">
      <c r="A58" s="5"/>
      <c r="B58" s="21"/>
    </row>
    <row r="59" spans="1:2" ht="18.75" hidden="1">
      <c r="A59" s="5"/>
      <c r="B59" s="21"/>
    </row>
    <row r="60" spans="1:2" ht="18.75" hidden="1">
      <c r="A60" s="5"/>
      <c r="B60" s="21"/>
    </row>
    <row r="61" spans="1:2" ht="18.75" hidden="1">
      <c r="A61" s="5"/>
      <c r="B61" s="21"/>
    </row>
    <row r="62" spans="1:2" ht="18.75" hidden="1">
      <c r="A62" s="5"/>
      <c r="B62" s="21"/>
    </row>
    <row r="63" spans="1:2" ht="18.75" hidden="1">
      <c r="A63" s="5"/>
      <c r="B63" s="21"/>
    </row>
    <row r="64" spans="1:2" ht="18.75" hidden="1">
      <c r="A64" s="5"/>
      <c r="B64" s="21"/>
    </row>
    <row r="65" spans="1:2" ht="18.75" hidden="1">
      <c r="A65" s="5"/>
      <c r="B65" s="21"/>
    </row>
    <row r="66" spans="1:2" ht="18.75" hidden="1">
      <c r="A66" s="5"/>
      <c r="B66" s="21"/>
    </row>
    <row r="67" spans="1:2" ht="18.75" hidden="1">
      <c r="A67" s="5"/>
      <c r="B67" s="21"/>
    </row>
    <row r="68" spans="1:2" ht="18.75" hidden="1">
      <c r="A68" s="5"/>
      <c r="B68" s="21"/>
    </row>
    <row r="69" spans="1:2" ht="18.75" hidden="1">
      <c r="A69" s="5"/>
      <c r="B69" s="21"/>
    </row>
    <row r="70" spans="1:2" ht="18.75" hidden="1">
      <c r="A70" s="5"/>
      <c r="B70" s="21"/>
    </row>
    <row r="71" spans="1:2" ht="18.75" hidden="1">
      <c r="A71" s="5"/>
      <c r="B71" s="21"/>
    </row>
    <row r="72" spans="1:2" ht="18.75" hidden="1">
      <c r="A72" s="5"/>
      <c r="B72" s="21"/>
    </row>
    <row r="73" spans="1:2" ht="18.75" hidden="1">
      <c r="A73" s="5"/>
      <c r="B73" s="21"/>
    </row>
    <row r="74" spans="1:2" ht="18.75" hidden="1">
      <c r="A74" s="5"/>
      <c r="B74" s="21"/>
    </row>
    <row r="75" spans="1:2" ht="18.75" hidden="1">
      <c r="A75" s="5"/>
      <c r="B75" s="21"/>
    </row>
    <row r="76" spans="1:2" ht="18.75" hidden="1">
      <c r="A76" s="5"/>
      <c r="B76" s="21"/>
    </row>
    <row r="77" spans="1:2" ht="18.75" hidden="1">
      <c r="A77" s="5"/>
      <c r="B77" s="21"/>
    </row>
    <row r="78" spans="1:2" ht="18.75" hidden="1">
      <c r="A78" s="5"/>
      <c r="B78" s="21"/>
    </row>
    <row r="79" spans="1:2" ht="18.75" hidden="1">
      <c r="A79" s="5"/>
      <c r="B79" s="21"/>
    </row>
    <row r="80" spans="1:2" ht="18.75" hidden="1">
      <c r="A80" s="5"/>
      <c r="B80" s="21"/>
    </row>
    <row r="81" spans="1:2" ht="18.75" hidden="1">
      <c r="A81" s="5"/>
      <c r="B81" s="21"/>
    </row>
    <row r="82" spans="1:2" ht="18.75" hidden="1">
      <c r="A82" s="5"/>
      <c r="B82" s="21"/>
    </row>
    <row r="83" spans="1:2" ht="18.75" hidden="1">
      <c r="A83" s="5"/>
      <c r="B83" s="21"/>
    </row>
    <row r="84" spans="1:2" ht="18.75" hidden="1">
      <c r="A84" s="5"/>
      <c r="B84" s="21"/>
    </row>
    <row r="85" spans="1:2" ht="18.75" hidden="1">
      <c r="A85" s="5"/>
      <c r="B85" s="21"/>
    </row>
    <row r="86" spans="1:2" ht="18.75" hidden="1">
      <c r="A86" s="5"/>
      <c r="B86" s="21"/>
    </row>
    <row r="87" spans="1:2" ht="18.75" hidden="1">
      <c r="A87" s="5"/>
      <c r="B87" s="21"/>
    </row>
    <row r="88" spans="1:2" ht="18.75" hidden="1">
      <c r="A88" s="5"/>
      <c r="B88" s="21"/>
    </row>
    <row r="89" spans="1:2" ht="18.75" hidden="1">
      <c r="A89" s="5"/>
      <c r="B89" s="21"/>
    </row>
    <row r="90" spans="1:2" ht="18.75" hidden="1">
      <c r="A90" s="5"/>
      <c r="B90" s="21"/>
    </row>
    <row r="91" spans="1:2" ht="18.75" hidden="1">
      <c r="A91" s="5"/>
      <c r="B91" s="21"/>
    </row>
    <row r="92" spans="1:2" ht="18.75" hidden="1">
      <c r="A92" s="5"/>
      <c r="B92" s="21"/>
    </row>
    <row r="93" spans="1:2" ht="18.75" hidden="1">
      <c r="A93" s="5"/>
      <c r="B93" s="21"/>
    </row>
    <row r="94" spans="1:2" ht="18.75" hidden="1">
      <c r="A94" s="5"/>
      <c r="B94" s="21"/>
    </row>
    <row r="95" spans="1:2" ht="18.75" hidden="1">
      <c r="A95" s="5"/>
      <c r="B95" s="21"/>
    </row>
    <row r="96" spans="1:2" ht="18.75" hidden="1">
      <c r="A96" s="5"/>
      <c r="B96" s="21"/>
    </row>
    <row r="97" spans="1:2" ht="18.75" hidden="1">
      <c r="A97" s="5"/>
      <c r="B97" s="21"/>
    </row>
    <row r="98" spans="1:2" ht="18.75" hidden="1">
      <c r="A98" s="5"/>
      <c r="B98" s="21"/>
    </row>
    <row r="99" spans="1:2" ht="18.75" hidden="1">
      <c r="A99" s="5"/>
      <c r="B99" s="21"/>
    </row>
    <row r="100" spans="1:2" ht="19.5" hidden="1" thickBot="1">
      <c r="A100" s="5"/>
      <c r="B100" s="22"/>
    </row>
    <row r="101" spans="1:2" ht="18.75" hidden="1">
      <c r="A101" s="5"/>
      <c r="B101" s="23"/>
    </row>
    <row r="102" spans="1:2" ht="27.75" customHeight="1" hidden="1">
      <c r="A102" s="5"/>
      <c r="B102" s="24"/>
    </row>
    <row r="103" spans="1:2" ht="21" customHeight="1" hidden="1">
      <c r="A103" s="5"/>
      <c r="B103" s="24"/>
    </row>
    <row r="104" spans="1:2" ht="29.25" customHeight="1" hidden="1">
      <c r="A104" s="5"/>
      <c r="B104" s="24"/>
    </row>
    <row r="105" spans="1:2" ht="17.25" customHeight="1" hidden="1">
      <c r="A105" s="5"/>
      <c r="B105" s="24"/>
    </row>
    <row r="106" spans="1:2" ht="27.75" customHeight="1" hidden="1">
      <c r="A106" s="5"/>
      <c r="B106" s="24"/>
    </row>
    <row r="107" spans="1:2" ht="12" customHeight="1" hidden="1">
      <c r="A107" s="5"/>
      <c r="B107" s="24"/>
    </row>
    <row r="108" spans="1:2" ht="18" customHeight="1" hidden="1">
      <c r="A108" s="5"/>
      <c r="B108" s="24"/>
    </row>
    <row r="109" spans="1:2" ht="18.75" hidden="1">
      <c r="A109" s="5"/>
      <c r="B109" s="24"/>
    </row>
    <row r="110" spans="1:2" ht="14.25" customHeight="1" hidden="1">
      <c r="A110" s="5"/>
      <c r="B110" s="24"/>
    </row>
    <row r="111" spans="1:2" ht="12" customHeight="1" hidden="1">
      <c r="A111" s="5"/>
      <c r="B111" s="24"/>
    </row>
    <row r="112" spans="1:2" ht="18.75" hidden="1">
      <c r="A112" s="5"/>
      <c r="B112" s="24"/>
    </row>
    <row r="113" spans="1:2" ht="18.75" hidden="1">
      <c r="A113" s="5"/>
      <c r="B113" s="24"/>
    </row>
    <row r="114" spans="1:2" ht="19.5" hidden="1" thickBot="1">
      <c r="A114" s="5"/>
      <c r="B114" s="25"/>
    </row>
    <row r="115" ht="18" hidden="1"/>
    <row r="116" ht="18" hidden="1"/>
    <row r="117" ht="18" hidden="1"/>
    <row r="118" ht="18" hidden="1"/>
    <row r="119" ht="18" hidden="1"/>
    <row r="120" ht="18" hidden="1"/>
    <row r="121" ht="18" hidden="1"/>
    <row r="122" ht="18" hidden="1"/>
    <row r="123" ht="18" hidden="1"/>
    <row r="124" ht="18" hidden="1"/>
    <row r="125" ht="18" hidden="1"/>
    <row r="126" ht="18" hidden="1"/>
    <row r="127" ht="18" hidden="1"/>
    <row r="128" ht="18" hidden="1"/>
    <row r="129" ht="18" hidden="1"/>
    <row r="130" ht="18" hidden="1"/>
    <row r="131" ht="18" hidden="1"/>
    <row r="132" ht="18" hidden="1"/>
    <row r="133" ht="18" hidden="1"/>
    <row r="134" ht="18" hidden="1"/>
    <row r="135" ht="18" hidden="1"/>
    <row r="136" ht="18" hidden="1"/>
    <row r="137" ht="18" hidden="1"/>
    <row r="138" ht="18" hidden="1"/>
    <row r="139" ht="18" hidden="1"/>
    <row r="140" ht="18" hidden="1"/>
    <row r="141" ht="18" hidden="1"/>
    <row r="142" ht="18" hidden="1"/>
    <row r="143" ht="18" hidden="1"/>
    <row r="144" ht="18" hidden="1"/>
    <row r="145" ht="18" hidden="1"/>
    <row r="146" ht="18" hidden="1"/>
    <row r="147" ht="18" hidden="1"/>
    <row r="148" ht="17.25" customHeight="1" hidden="1"/>
    <row r="149" ht="17.25" customHeight="1" hidden="1"/>
    <row r="150" ht="17.25" customHeight="1" hidden="1"/>
    <row r="151" ht="17.25" customHeight="1" hidden="1"/>
  </sheetData>
  <sheetProtection sheet="1"/>
  <hyperlinks>
    <hyperlink ref="B10" location="Intro!B20" tooltip="Click this link to read more about Methane" display="     - Methane (CH4)"/>
    <hyperlink ref="B11" location="Intro!B40" tooltip="Click this link to read more about Nitrous Oxide" display="     - Nitrous oxide (N2O)"/>
    <hyperlink ref="B12" location="Intro!B49" tooltip="Click this link to read more about Carbon Dioxide" display="     - Carbon dioxide (CO2)"/>
    <hyperlink ref="B7" r:id="rId1" display="http://www.climatechange.gov.au/en/publications/greenhouse-acctg/~/media/publications/greenhouse-acctg/NationalInventoryReport-2010-Vol-1.pdf"/>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O34"/>
  <sheetViews>
    <sheetView showGridLines="0" tabSelected="1" defaultGridColor="0" zoomScale="80" zoomScaleNormal="80" zoomScalePageLayoutView="0" colorId="8" workbookViewId="0" topLeftCell="A1">
      <selection activeCell="M11" sqref="M11"/>
    </sheetView>
  </sheetViews>
  <sheetFormatPr defaultColWidth="0" defaultRowHeight="12.75" zeroHeight="1"/>
  <cols>
    <col min="1" max="1" width="2.28125" style="272" customWidth="1"/>
    <col min="2" max="2" width="29.140625" style="272" customWidth="1"/>
    <col min="3" max="3" width="10.28125" style="272" customWidth="1"/>
    <col min="4" max="4" width="10.140625" style="272" customWidth="1"/>
    <col min="5" max="5" width="9.7109375" style="272" bestFit="1" customWidth="1"/>
    <col min="6" max="6" width="12.00390625" style="272" customWidth="1"/>
    <col min="7" max="8" width="9.28125" style="272" customWidth="1"/>
    <col min="9" max="9" width="10.421875" style="272" customWidth="1"/>
    <col min="10" max="10" width="9.57421875" style="272" customWidth="1"/>
    <col min="11" max="11" width="1.421875" style="272" customWidth="1"/>
    <col min="12" max="12" width="24.140625" style="272" customWidth="1"/>
    <col min="13" max="13" width="13.28125" style="272" customWidth="1"/>
    <col min="14" max="14" width="9.8515625" style="272" bestFit="1" customWidth="1"/>
    <col min="15" max="15" width="15.140625" style="272" customWidth="1"/>
    <col min="16" max="16" width="4.140625" style="272" customWidth="1"/>
    <col min="17" max="16384" width="0" style="272" hidden="1" customWidth="1"/>
  </cols>
  <sheetData>
    <row r="1" ht="31.5" customHeight="1">
      <c r="A1" s="273" t="s">
        <v>404</v>
      </c>
    </row>
    <row r="2" spans="2:10" ht="19.5" customHeight="1">
      <c r="B2" s="256" t="s">
        <v>402</v>
      </c>
      <c r="C2" s="257"/>
      <c r="D2" s="257"/>
      <c r="E2" s="257"/>
      <c r="F2" s="257"/>
      <c r="G2" s="274"/>
      <c r="H2" s="274"/>
      <c r="I2" s="274"/>
      <c r="J2" s="274"/>
    </row>
    <row r="3" spans="2:15" ht="16.5" customHeight="1">
      <c r="B3" s="275" t="s">
        <v>20</v>
      </c>
      <c r="C3" s="337" t="str">
        <f>'Data input'!J1</f>
        <v>Joe Bloggs</v>
      </c>
      <c r="D3" s="337"/>
      <c r="E3" s="276"/>
      <c r="F3" s="276"/>
      <c r="G3" s="276"/>
      <c r="H3" s="276"/>
      <c r="I3" s="276"/>
      <c r="J3" s="277"/>
      <c r="L3" s="278" t="s">
        <v>18</v>
      </c>
      <c r="M3" s="312" t="s">
        <v>417</v>
      </c>
      <c r="N3" s="279" t="s">
        <v>31</v>
      </c>
      <c r="O3" s="313" t="s">
        <v>417</v>
      </c>
    </row>
    <row r="4" spans="2:15" ht="16.5" customHeight="1">
      <c r="B4" s="280" t="s">
        <v>101</v>
      </c>
      <c r="C4" s="301">
        <f>'Data input'!O8</f>
        <v>6</v>
      </c>
      <c r="D4" s="29" t="str">
        <f>VLOOKUP(C4,'Data input'!$X$3:$Y$11,2,FALSE)</f>
        <v>QLD</v>
      </c>
      <c r="E4" s="29"/>
      <c r="F4" s="29"/>
      <c r="G4" s="29"/>
      <c r="H4" s="29"/>
      <c r="I4" s="29"/>
      <c r="J4" s="284"/>
      <c r="L4" s="280" t="s">
        <v>142</v>
      </c>
      <c r="M4" s="281">
        <f>'Electicity &amp; Diesel'!C34</f>
        <v>94.67751755999998</v>
      </c>
      <c r="N4" s="282" t="s">
        <v>143</v>
      </c>
      <c r="O4" s="283">
        <f>SUM(M4)</f>
        <v>94.67751755999998</v>
      </c>
    </row>
    <row r="5" spans="2:15" ht="15.75" customHeight="1">
      <c r="B5" s="275" t="s">
        <v>7</v>
      </c>
      <c r="C5" s="305" t="str">
        <f>'Data input'!D3</f>
        <v>Bulls &gt;1</v>
      </c>
      <c r="D5" s="305" t="str">
        <f>'Data input'!E3</f>
        <v>Bulls&lt;1</v>
      </c>
      <c r="E5" s="305" t="str">
        <f>'Data input'!F3</f>
        <v>Steers&lt;1</v>
      </c>
      <c r="F5" s="305" t="str">
        <f>'Data input'!G3</f>
        <v>Cows 1 to 2</v>
      </c>
      <c r="G5" s="305" t="str">
        <f>'Data input'!H3</f>
        <v>Cows &gt;2</v>
      </c>
      <c r="H5" s="305" t="str">
        <f>'Data input'!I3</f>
        <v>Cows&lt;1</v>
      </c>
      <c r="I5" s="305" t="str">
        <f>'Data input'!J3</f>
        <v>Steers&gt;1</v>
      </c>
      <c r="J5" s="314" t="str">
        <f>'Data input'!K3</f>
        <v>Units</v>
      </c>
      <c r="L5" s="280" t="s">
        <v>144</v>
      </c>
      <c r="M5" s="281">
        <f>'Enteric fermentation'!N66</f>
        <v>3330.6785609865415</v>
      </c>
      <c r="N5" s="282" t="s">
        <v>145</v>
      </c>
      <c r="O5" s="283">
        <f>SUM(M5)</f>
        <v>3330.6785609865415</v>
      </c>
    </row>
    <row r="6" spans="2:15" ht="16.5">
      <c r="B6" s="280" t="s">
        <v>11</v>
      </c>
      <c r="C6" s="29">
        <f>'Data input'!D8</f>
        <v>20</v>
      </c>
      <c r="D6" s="29">
        <f>'Data input'!E8</f>
        <v>9.75</v>
      </c>
      <c r="E6" s="29">
        <f>'Data input'!F8</f>
        <v>281.25</v>
      </c>
      <c r="F6" s="29">
        <f>'Data input'!G8</f>
        <v>320.75</v>
      </c>
      <c r="G6" s="29">
        <f>'Data input'!H8</f>
        <v>839.3175</v>
      </c>
      <c r="H6" s="29">
        <f>'Data input'!I8</f>
        <v>281.25</v>
      </c>
      <c r="I6" s="29">
        <f>'Data input'!J8</f>
        <v>275.25</v>
      </c>
      <c r="J6" s="284" t="str">
        <f>'Data input'!K8</f>
        <v>head</v>
      </c>
      <c r="L6" s="280" t="s">
        <v>146</v>
      </c>
      <c r="M6" s="285">
        <f>'Manure management'!C36</f>
        <v>2.8251004958577086</v>
      </c>
      <c r="N6" s="306" t="s">
        <v>147</v>
      </c>
      <c r="O6" s="343">
        <f>SUM(M7:M9)</f>
        <v>160.14782942252924</v>
      </c>
    </row>
    <row r="7" spans="2:13" ht="16.5">
      <c r="B7" s="280" t="s">
        <v>64</v>
      </c>
      <c r="C7" s="30">
        <f>'Data input'!D14</f>
        <v>950</v>
      </c>
      <c r="D7" s="30">
        <f>'Data input'!E14</f>
        <v>477.5</v>
      </c>
      <c r="E7" s="30">
        <f>'Data input'!F14</f>
        <v>200</v>
      </c>
      <c r="F7" s="30">
        <f>'Data input'!G14</f>
        <v>365</v>
      </c>
      <c r="G7" s="30">
        <f>'Data input'!H14</f>
        <v>475</v>
      </c>
      <c r="H7" s="30">
        <f>'Data input'!I14</f>
        <v>207.5</v>
      </c>
      <c r="I7" s="30">
        <f>'Data input'!J14</f>
        <v>370</v>
      </c>
      <c r="J7" s="284" t="str">
        <f>'Data input'!K14</f>
        <v>kg/head</v>
      </c>
      <c r="L7" s="280" t="s">
        <v>148</v>
      </c>
      <c r="M7" s="281">
        <f>'Agricultural soils'!C49</f>
        <v>0</v>
      </c>
    </row>
    <row r="8" spans="2:13" ht="16.5">
      <c r="B8" s="280" t="s">
        <v>87</v>
      </c>
      <c r="C8" s="31">
        <f>'Data input'!D20</f>
        <v>0</v>
      </c>
      <c r="D8" s="31">
        <f>'Data input'!E20</f>
        <v>0.5128205128205128</v>
      </c>
      <c r="E8" s="31">
        <f>'Data input'!F20</f>
        <v>0.6593406593406594</v>
      </c>
      <c r="F8" s="31">
        <f>'Data input'!G20</f>
        <v>0.3296703296703297</v>
      </c>
      <c r="G8" s="31">
        <f>'Data input'!H20</f>
        <v>0</v>
      </c>
      <c r="H8" s="31">
        <f>'Data input'!I20</f>
        <v>0.6593406593406593</v>
      </c>
      <c r="I8" s="31">
        <f>'Data input'!J20</f>
        <v>0.4120879120879121</v>
      </c>
      <c r="J8" s="284" t="str">
        <f>'Data input'!K20</f>
        <v>kg/day</v>
      </c>
      <c r="L8" s="280" t="s">
        <v>149</v>
      </c>
      <c r="M8" s="281">
        <f>'Agricultural soils'!D217</f>
        <v>49.42861347475484</v>
      </c>
    </row>
    <row r="9" spans="2:13" ht="16.5">
      <c r="B9" s="280" t="s">
        <v>89</v>
      </c>
      <c r="C9" s="32">
        <f>'Data input'!D26</f>
        <v>6.875</v>
      </c>
      <c r="D9" s="32">
        <f>'Data input'!E26</f>
        <v>6.875</v>
      </c>
      <c r="E9" s="32">
        <f>'Data input'!F26</f>
        <v>6.875</v>
      </c>
      <c r="F9" s="32">
        <f>'Data input'!G26</f>
        <v>6.875</v>
      </c>
      <c r="G9" s="32">
        <f>'Data input'!H26</f>
        <v>6.875</v>
      </c>
      <c r="H9" s="32">
        <f>'Data input'!I26</f>
        <v>6.875</v>
      </c>
      <c r="I9" s="32">
        <f>'Data input'!J26</f>
        <v>6.875</v>
      </c>
      <c r="J9" s="284" t="str">
        <f>'Data input'!K26</f>
        <v>%</v>
      </c>
      <c r="L9" s="286" t="s">
        <v>150</v>
      </c>
      <c r="M9" s="342">
        <f>'Agricultural soils'!C121</f>
        <v>110.71921594777442</v>
      </c>
    </row>
    <row r="10" spans="2:13" ht="16.5" customHeight="1">
      <c r="B10" s="286" t="s">
        <v>434</v>
      </c>
      <c r="C10" s="267">
        <f>'Data input'!D32</f>
        <v>52</v>
      </c>
      <c r="D10" s="267">
        <f>'Data input'!E32</f>
        <v>52</v>
      </c>
      <c r="E10" s="267">
        <f>'Data input'!F32</f>
        <v>52</v>
      </c>
      <c r="F10" s="267">
        <f>'Data input'!G32</f>
        <v>52</v>
      </c>
      <c r="G10" s="267">
        <f>'Data input'!H32</f>
        <v>52</v>
      </c>
      <c r="H10" s="267">
        <f>'Data input'!I32</f>
        <v>52</v>
      </c>
      <c r="I10" s="267">
        <f>'Data input'!J32</f>
        <v>52</v>
      </c>
      <c r="J10" s="287" t="str">
        <f>'Data input'!K32</f>
        <v>%</v>
      </c>
      <c r="L10" s="280" t="s">
        <v>69</v>
      </c>
      <c r="M10" s="281">
        <f>-1*Trees!$F$29*'Data summary'!C18</f>
        <v>-29.137500000000003</v>
      </c>
    </row>
    <row r="11" spans="2:13" ht="15.75" customHeight="1">
      <c r="B11" s="307" t="s">
        <v>22</v>
      </c>
      <c r="C11" s="308">
        <f>'Data input'!C35</f>
        <v>400</v>
      </c>
      <c r="D11" s="308"/>
      <c r="E11" s="308"/>
      <c r="F11" s="308"/>
      <c r="G11" s="308"/>
      <c r="H11" s="308"/>
      <c r="I11" s="308"/>
      <c r="J11" s="309" t="s">
        <v>23</v>
      </c>
      <c r="L11" s="286" t="s">
        <v>80</v>
      </c>
      <c r="M11" s="342">
        <f>SUM(M4:M10)</f>
        <v>3559.191508464929</v>
      </c>
    </row>
    <row r="12" spans="2:10" ht="18" customHeight="1">
      <c r="B12" s="280" t="s">
        <v>21</v>
      </c>
      <c r="C12" s="29">
        <f>'Data input'!C34</f>
        <v>10</v>
      </c>
      <c r="D12" s="29"/>
      <c r="E12" s="33"/>
      <c r="F12" s="33"/>
      <c r="G12" s="33"/>
      <c r="H12" s="33"/>
      <c r="I12" s="33"/>
      <c r="J12" s="284" t="s">
        <v>23</v>
      </c>
    </row>
    <row r="13" spans="2:10" ht="16.5" customHeight="1">
      <c r="B13" s="280" t="s">
        <v>120</v>
      </c>
      <c r="C13" s="29">
        <f>'Data input'!D47</f>
        <v>0</v>
      </c>
      <c r="D13" s="29"/>
      <c r="E13" s="29"/>
      <c r="F13" s="29"/>
      <c r="G13" s="29"/>
      <c r="H13" s="29"/>
      <c r="I13" s="29"/>
      <c r="J13" s="284" t="s">
        <v>30</v>
      </c>
    </row>
    <row r="14" spans="2:10" ht="15.75" customHeight="1">
      <c r="B14" s="286" t="s">
        <v>121</v>
      </c>
      <c r="C14" s="288">
        <f>'Data input'!D41</f>
        <v>0</v>
      </c>
      <c r="D14" s="288"/>
      <c r="E14" s="288"/>
      <c r="F14" s="288"/>
      <c r="G14" s="288"/>
      <c r="H14" s="288"/>
      <c r="I14" s="288"/>
      <c r="J14" s="287" t="s">
        <v>30</v>
      </c>
    </row>
    <row r="15" spans="2:10" ht="16.5" customHeight="1">
      <c r="B15" s="280" t="s">
        <v>14</v>
      </c>
      <c r="C15" s="29">
        <f>'Data input'!C49</f>
        <v>30000</v>
      </c>
      <c r="D15" s="29"/>
      <c r="E15" s="29"/>
      <c r="F15" s="29"/>
      <c r="G15" s="29"/>
      <c r="H15" s="29"/>
      <c r="I15" s="29"/>
      <c r="J15" s="284" t="s">
        <v>12</v>
      </c>
    </row>
    <row r="16" spans="2:10" ht="15">
      <c r="B16" s="280" t="s">
        <v>78</v>
      </c>
      <c r="C16" s="29">
        <f>'Data input'!C50</f>
        <v>12000</v>
      </c>
      <c r="D16" s="29"/>
      <c r="E16" s="29"/>
      <c r="F16" s="29"/>
      <c r="G16" s="29"/>
      <c r="H16" s="29"/>
      <c r="I16" s="29"/>
      <c r="J16" s="284" t="s">
        <v>13</v>
      </c>
    </row>
    <row r="17" spans="2:10" ht="15">
      <c r="B17" s="310" t="s">
        <v>24</v>
      </c>
      <c r="C17" s="311">
        <f>'Data input'!O32</f>
        <v>1</v>
      </c>
      <c r="D17" s="308" t="str">
        <f>VLOOKUP(C17,'Electicity &amp; Diesel'!A38:B45,2)</f>
        <v>Black Coal </v>
      </c>
      <c r="E17" s="308"/>
      <c r="F17" s="308"/>
      <c r="G17" s="308"/>
      <c r="H17" s="308"/>
      <c r="I17" s="308"/>
      <c r="J17" s="309"/>
    </row>
    <row r="18" spans="2:10" ht="15">
      <c r="B18" s="280" t="s">
        <v>66</v>
      </c>
      <c r="C18" s="29">
        <f>'Data input'!C51</f>
        <v>1</v>
      </c>
      <c r="D18" s="29"/>
      <c r="E18" s="29"/>
      <c r="F18" s="29"/>
      <c r="G18" s="29"/>
      <c r="H18" s="29"/>
      <c r="I18" s="29"/>
      <c r="J18" s="284" t="s">
        <v>23</v>
      </c>
    </row>
    <row r="19" spans="2:10" ht="18.75" customHeight="1">
      <c r="B19" s="280" t="s">
        <v>67</v>
      </c>
      <c r="C19" s="301">
        <f>'Data input'!O35</f>
        <v>5</v>
      </c>
      <c r="D19" s="29" t="str">
        <f>VLOOKUP(C19,Trees!A12:B25,2)</f>
        <v>Eucalyptus nitens - Shining gum</v>
      </c>
      <c r="E19" s="29"/>
      <c r="F19" s="29"/>
      <c r="G19" s="29"/>
      <c r="H19" s="29"/>
      <c r="I19" s="29"/>
      <c r="J19" s="284"/>
    </row>
    <row r="20" spans="2:10" ht="18.75" customHeight="1">
      <c r="B20" s="286" t="s">
        <v>54</v>
      </c>
      <c r="C20" s="302">
        <f>'Data input'!O38</f>
        <v>2</v>
      </c>
      <c r="D20" s="288" t="str">
        <f>VLOOKUP(C20,Trees!A28:B30,2)</f>
        <v>Med (500 - 700)</v>
      </c>
      <c r="E20" s="288"/>
      <c r="F20" s="288"/>
      <c r="G20" s="288"/>
      <c r="H20" s="288"/>
      <c r="I20" s="288"/>
      <c r="J20" s="287"/>
    </row>
    <row r="21" ht="18" customHeight="1"/>
    <row r="22" ht="18.75" customHeight="1"/>
    <row r="23" ht="24.75" customHeight="1"/>
    <row r="24" ht="21.75" customHeight="1"/>
    <row r="25" ht="16.5" customHeight="1">
      <c r="D25" s="289"/>
    </row>
    <row r="26" spans="3:5" ht="16.5" customHeight="1" hidden="1">
      <c r="C26" s="290"/>
      <c r="E26" s="291"/>
    </row>
    <row r="27" ht="15" hidden="1"/>
    <row r="28" ht="15" hidden="1"/>
    <row r="29" ht="15" hidden="1"/>
    <row r="30" ht="15" hidden="1">
      <c r="D30" s="289"/>
    </row>
    <row r="31" ht="15" hidden="1">
      <c r="D31" s="289"/>
    </row>
    <row r="32" ht="15" hidden="1">
      <c r="D32" s="289"/>
    </row>
    <row r="33" ht="15" hidden="1">
      <c r="D33" s="289"/>
    </row>
    <row r="34" ht="15" hidden="1">
      <c r="D34" s="289"/>
    </row>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sheetData>
  <sheetProtection sheet="1"/>
  <mergeCells count="1">
    <mergeCell ref="C3:D3"/>
  </mergeCells>
  <printOptions/>
  <pageMargins left="0.75" right="0.75" top="1" bottom="1" header="0.5" footer="0.5"/>
  <pageSetup fitToHeight="1" fitToWidth="1" horizontalDpi="300" verticalDpi="300" orientation="landscape" paperSize="9" scale="87" r:id="rId3"/>
  <drawing r:id="rId1"/>
  <picture r:id="rId2"/>
</worksheet>
</file>

<file path=xl/worksheets/sheet3.xml><?xml version="1.0" encoding="utf-8"?>
<worksheet xmlns="http://schemas.openxmlformats.org/spreadsheetml/2006/main" xmlns:r="http://schemas.openxmlformats.org/officeDocument/2006/relationships">
  <dimension ref="B1:AD71"/>
  <sheetViews>
    <sheetView showGridLines="0" zoomScale="65" zoomScaleNormal="65" zoomScalePageLayoutView="0" workbookViewId="0" topLeftCell="A1">
      <selection activeCell="A1" sqref="A1"/>
    </sheetView>
  </sheetViews>
  <sheetFormatPr defaultColWidth="8.8515625" defaultRowHeight="12.75"/>
  <cols>
    <col min="1" max="1" width="3.00390625" style="35" customWidth="1"/>
    <col min="2" max="2" width="31.28125" style="37" customWidth="1"/>
    <col min="3" max="3" width="14.7109375" style="35" customWidth="1"/>
    <col min="4" max="4" width="9.57421875" style="35" customWidth="1"/>
    <col min="5" max="5" width="12.28125" style="35" customWidth="1"/>
    <col min="6" max="6" width="14.7109375" style="35" customWidth="1"/>
    <col min="7" max="7" width="11.8515625" style="35" customWidth="1"/>
    <col min="8" max="8" width="16.7109375" style="35" customWidth="1"/>
    <col min="9" max="9" width="14.8515625" style="35" customWidth="1"/>
    <col min="10" max="10" width="9.421875" style="35" customWidth="1"/>
    <col min="11" max="11" width="12.00390625" style="35" customWidth="1"/>
    <col min="12" max="22" width="8.8515625" style="35" customWidth="1"/>
    <col min="23" max="23" width="4.140625" style="35" customWidth="1"/>
    <col min="24" max="25" width="8.8515625" style="35" customWidth="1"/>
    <col min="26" max="26" width="12.28125" style="35" customWidth="1"/>
    <col min="27" max="27" width="13.140625" style="35" customWidth="1"/>
    <col min="28" max="16384" width="8.8515625" style="35" customWidth="1"/>
  </cols>
  <sheetData>
    <row r="1" spans="2:26" ht="25.5" customHeight="1">
      <c r="B1" s="34" t="s">
        <v>92</v>
      </c>
      <c r="C1" s="34"/>
      <c r="D1" s="34"/>
      <c r="E1" s="34"/>
      <c r="F1" s="34"/>
      <c r="I1" s="35" t="s">
        <v>403</v>
      </c>
      <c r="J1" s="327" t="s">
        <v>93</v>
      </c>
      <c r="K1" s="328"/>
      <c r="X1" s="266" t="s">
        <v>424</v>
      </c>
      <c r="Y1" s="266"/>
      <c r="Z1" s="266"/>
    </row>
    <row r="2" spans="2:30" ht="13.5" customHeight="1">
      <c r="B2" s="36"/>
      <c r="X2" s="258"/>
      <c r="Y2" s="216"/>
      <c r="Z2" s="216"/>
      <c r="AA2" s="216"/>
      <c r="AB2" s="266"/>
      <c r="AC2" s="216"/>
      <c r="AD2" s="259"/>
    </row>
    <row r="3" spans="2:30" ht="21" customHeight="1">
      <c r="B3" s="205"/>
      <c r="C3" s="44"/>
      <c r="D3" s="43" t="s">
        <v>94</v>
      </c>
      <c r="E3" s="43" t="s">
        <v>95</v>
      </c>
      <c r="F3" s="43" t="s">
        <v>96</v>
      </c>
      <c r="G3" s="43" t="s">
        <v>97</v>
      </c>
      <c r="H3" s="43" t="s">
        <v>98</v>
      </c>
      <c r="I3" s="43" t="s">
        <v>99</v>
      </c>
      <c r="J3" s="43" t="s">
        <v>100</v>
      </c>
      <c r="K3" s="213" t="s">
        <v>111</v>
      </c>
      <c r="M3" s="37"/>
      <c r="X3" s="260">
        <v>1</v>
      </c>
      <c r="Y3" s="35" t="s">
        <v>103</v>
      </c>
      <c r="AA3" s="298" t="s">
        <v>102</v>
      </c>
      <c r="AB3" s="298" t="s">
        <v>65</v>
      </c>
      <c r="AC3" s="298" t="s">
        <v>410</v>
      </c>
      <c r="AD3" s="261"/>
    </row>
    <row r="4" spans="2:30" ht="15.75">
      <c r="B4" s="208" t="s">
        <v>11</v>
      </c>
      <c r="C4" s="26" t="s">
        <v>32</v>
      </c>
      <c r="D4" s="38">
        <v>20</v>
      </c>
      <c r="E4" s="38">
        <v>0</v>
      </c>
      <c r="F4" s="38">
        <v>375</v>
      </c>
      <c r="G4" s="38">
        <v>254</v>
      </c>
      <c r="H4" s="38">
        <v>681</v>
      </c>
      <c r="I4" s="38">
        <v>375</v>
      </c>
      <c r="J4" s="38">
        <v>39</v>
      </c>
      <c r="K4" s="209" t="s">
        <v>151</v>
      </c>
      <c r="L4" s="39"/>
      <c r="M4" s="39"/>
      <c r="X4" s="260">
        <v>2</v>
      </c>
      <c r="Y4" s="35" t="s">
        <v>209</v>
      </c>
      <c r="Z4" s="37">
        <v>4</v>
      </c>
      <c r="AA4" s="37" t="s">
        <v>103</v>
      </c>
      <c r="AB4" s="37" t="s">
        <v>32</v>
      </c>
      <c r="AC4" s="35">
        <v>1.3</v>
      </c>
      <c r="AD4" s="262"/>
    </row>
    <row r="5" spans="2:30" ht="15.75">
      <c r="B5" s="208"/>
      <c r="C5" s="26" t="s">
        <v>33</v>
      </c>
      <c r="D5" s="38">
        <v>20</v>
      </c>
      <c r="E5" s="38">
        <v>39</v>
      </c>
      <c r="F5" s="38">
        <v>0</v>
      </c>
      <c r="G5" s="38">
        <v>343</v>
      </c>
      <c r="H5" s="38">
        <v>966</v>
      </c>
      <c r="I5" s="38">
        <v>0</v>
      </c>
      <c r="J5" s="38">
        <v>354</v>
      </c>
      <c r="K5" s="209" t="s">
        <v>151</v>
      </c>
      <c r="L5" s="39"/>
      <c r="M5" s="39"/>
      <c r="X5" s="260">
        <v>3</v>
      </c>
      <c r="Y5" s="35" t="s">
        <v>409</v>
      </c>
      <c r="Z5" s="37"/>
      <c r="AA5" s="37"/>
      <c r="AB5" s="37" t="s">
        <v>33</v>
      </c>
      <c r="AC5" s="35">
        <v>1.1</v>
      </c>
      <c r="AD5" s="262"/>
    </row>
    <row r="6" spans="2:30" ht="15.75">
      <c r="B6" s="208"/>
      <c r="C6" s="26" t="s">
        <v>34</v>
      </c>
      <c r="D6" s="38">
        <v>20</v>
      </c>
      <c r="E6" s="38">
        <v>0</v>
      </c>
      <c r="F6" s="38">
        <v>375</v>
      </c>
      <c r="G6" s="38">
        <v>343</v>
      </c>
      <c r="H6" s="38">
        <v>934.27</v>
      </c>
      <c r="I6" s="38">
        <v>375</v>
      </c>
      <c r="J6" s="38">
        <v>354</v>
      </c>
      <c r="K6" s="209" t="s">
        <v>151</v>
      </c>
      <c r="L6" s="39"/>
      <c r="X6" s="260">
        <v>4</v>
      </c>
      <c r="Y6" s="35" t="s">
        <v>106</v>
      </c>
      <c r="Z6" s="37"/>
      <c r="AA6" s="37"/>
      <c r="AB6" s="37" t="s">
        <v>34</v>
      </c>
      <c r="AC6" s="35">
        <v>0</v>
      </c>
      <c r="AD6" s="262"/>
    </row>
    <row r="7" spans="2:30" ht="15.75">
      <c r="B7" s="208"/>
      <c r="C7" s="26" t="s">
        <v>35</v>
      </c>
      <c r="D7" s="38">
        <v>20</v>
      </c>
      <c r="E7" s="38">
        <v>0</v>
      </c>
      <c r="F7" s="38">
        <v>375</v>
      </c>
      <c r="G7" s="38">
        <v>343</v>
      </c>
      <c r="H7" s="38">
        <v>776</v>
      </c>
      <c r="I7" s="38">
        <v>375</v>
      </c>
      <c r="J7" s="38">
        <v>354</v>
      </c>
      <c r="K7" s="209" t="s">
        <v>151</v>
      </c>
      <c r="L7" s="39"/>
      <c r="M7" s="39"/>
      <c r="N7" s="39" t="s">
        <v>2</v>
      </c>
      <c r="X7" s="260">
        <v>5</v>
      </c>
      <c r="Y7" s="35" t="s">
        <v>108</v>
      </c>
      <c r="Z7" s="37"/>
      <c r="AA7" s="37"/>
      <c r="AB7" s="37" t="s">
        <v>35</v>
      </c>
      <c r="AC7" s="35">
        <v>0</v>
      </c>
      <c r="AD7" s="262"/>
    </row>
    <row r="8" spans="2:30" ht="15.75">
      <c r="B8" s="210"/>
      <c r="C8" s="45" t="s">
        <v>36</v>
      </c>
      <c r="D8" s="211">
        <f aca="true" t="shared" si="0" ref="D8:J8">AVERAGE(D4:D7)</f>
        <v>20</v>
      </c>
      <c r="E8" s="211">
        <f t="shared" si="0"/>
        <v>9.75</v>
      </c>
      <c r="F8" s="211">
        <f t="shared" si="0"/>
        <v>281.25</v>
      </c>
      <c r="G8" s="211">
        <f t="shared" si="0"/>
        <v>320.75</v>
      </c>
      <c r="H8" s="211">
        <f t="shared" si="0"/>
        <v>839.3175</v>
      </c>
      <c r="I8" s="211">
        <f t="shared" si="0"/>
        <v>281.25</v>
      </c>
      <c r="J8" s="211">
        <f t="shared" si="0"/>
        <v>275.25</v>
      </c>
      <c r="K8" s="212" t="s">
        <v>151</v>
      </c>
      <c r="L8" s="39"/>
      <c r="N8" s="38"/>
      <c r="O8" s="300">
        <v>6</v>
      </c>
      <c r="P8" s="38"/>
      <c r="Q8" s="38"/>
      <c r="X8" s="260">
        <v>6</v>
      </c>
      <c r="Y8" s="35" t="s">
        <v>109</v>
      </c>
      <c r="Z8" s="37">
        <v>8</v>
      </c>
      <c r="AA8" s="37" t="s">
        <v>107</v>
      </c>
      <c r="AB8" s="37" t="s">
        <v>32</v>
      </c>
      <c r="AC8" s="35">
        <v>1.3</v>
      </c>
      <c r="AD8" s="262"/>
    </row>
    <row r="9" spans="2:30" ht="15.75">
      <c r="B9" s="27"/>
      <c r="C9" s="26"/>
      <c r="D9" s="26"/>
      <c r="E9" s="26"/>
      <c r="F9" s="26"/>
      <c r="G9" s="26"/>
      <c r="H9" s="26"/>
      <c r="I9" s="26"/>
      <c r="J9" s="26"/>
      <c r="K9" s="28"/>
      <c r="N9" s="35" t="s">
        <v>129</v>
      </c>
      <c r="X9" s="260">
        <v>7</v>
      </c>
      <c r="Y9" s="35" t="s">
        <v>110</v>
      </c>
      <c r="Z9" s="37"/>
      <c r="AA9" s="37"/>
      <c r="AB9" s="37" t="s">
        <v>33</v>
      </c>
      <c r="AC9" s="35">
        <v>1.1</v>
      </c>
      <c r="AD9" s="262"/>
    </row>
    <row r="10" spans="2:30" ht="15.75">
      <c r="B10" s="205" t="s">
        <v>64</v>
      </c>
      <c r="C10" s="44" t="s">
        <v>32</v>
      </c>
      <c r="D10" s="206">
        <v>950</v>
      </c>
      <c r="E10" s="206">
        <v>430</v>
      </c>
      <c r="F10" s="206">
        <v>280</v>
      </c>
      <c r="G10" s="206">
        <v>400</v>
      </c>
      <c r="H10" s="206">
        <v>455</v>
      </c>
      <c r="I10" s="206">
        <v>280</v>
      </c>
      <c r="J10" s="206">
        <v>430</v>
      </c>
      <c r="K10" s="207" t="s">
        <v>422</v>
      </c>
      <c r="N10" s="292" t="s">
        <v>438</v>
      </c>
      <c r="P10" s="35" t="s">
        <v>128</v>
      </c>
      <c r="X10" s="260">
        <v>8</v>
      </c>
      <c r="Y10" s="35" t="s">
        <v>105</v>
      </c>
      <c r="Z10" s="37"/>
      <c r="AA10" s="37"/>
      <c r="AB10" s="37" t="s">
        <v>34</v>
      </c>
      <c r="AC10" s="35">
        <v>0</v>
      </c>
      <c r="AD10" s="262"/>
    </row>
    <row r="11" spans="2:30" ht="15.75">
      <c r="B11" s="208"/>
      <c r="C11" s="26" t="s">
        <v>33</v>
      </c>
      <c r="D11" s="38">
        <v>950</v>
      </c>
      <c r="E11" s="38">
        <v>480</v>
      </c>
      <c r="F11" s="38">
        <v>100</v>
      </c>
      <c r="G11" s="38">
        <v>320</v>
      </c>
      <c r="H11" s="38">
        <v>475</v>
      </c>
      <c r="I11" s="38">
        <v>100</v>
      </c>
      <c r="J11" s="38">
        <v>300</v>
      </c>
      <c r="K11" s="209" t="s">
        <v>422</v>
      </c>
      <c r="X11" s="260">
        <v>9</v>
      </c>
      <c r="Y11" s="35" t="s">
        <v>104</v>
      </c>
      <c r="Z11" s="37"/>
      <c r="AA11" s="37"/>
      <c r="AB11" s="37" t="s">
        <v>35</v>
      </c>
      <c r="AC11" s="35">
        <v>0</v>
      </c>
      <c r="AD11" s="262"/>
    </row>
    <row r="12" spans="2:30" ht="15.75">
      <c r="B12" s="208"/>
      <c r="C12" s="26" t="s">
        <v>34</v>
      </c>
      <c r="D12" s="38">
        <v>950</v>
      </c>
      <c r="E12" s="38">
        <v>500</v>
      </c>
      <c r="F12" s="38">
        <v>190</v>
      </c>
      <c r="G12" s="38">
        <v>360</v>
      </c>
      <c r="H12" s="38">
        <v>495</v>
      </c>
      <c r="I12" s="38">
        <v>190</v>
      </c>
      <c r="J12" s="38">
        <v>350</v>
      </c>
      <c r="K12" s="209" t="s">
        <v>422</v>
      </c>
      <c r="M12" s="35" t="s">
        <v>353</v>
      </c>
      <c r="X12" s="260"/>
      <c r="Z12" s="37">
        <v>12</v>
      </c>
      <c r="AA12" s="37" t="s">
        <v>319</v>
      </c>
      <c r="AB12" s="37" t="s">
        <v>32</v>
      </c>
      <c r="AC12" s="35">
        <v>0</v>
      </c>
      <c r="AD12" s="262"/>
    </row>
    <row r="13" spans="2:30" ht="15.75">
      <c r="B13" s="208"/>
      <c r="C13" s="26" t="s">
        <v>35</v>
      </c>
      <c r="D13" s="38">
        <v>950</v>
      </c>
      <c r="E13" s="38">
        <v>500</v>
      </c>
      <c r="F13" s="38">
        <v>230</v>
      </c>
      <c r="G13" s="38">
        <v>380</v>
      </c>
      <c r="H13" s="38">
        <v>475</v>
      </c>
      <c r="I13" s="38">
        <v>260</v>
      </c>
      <c r="J13" s="38">
        <v>400</v>
      </c>
      <c r="K13" s="209" t="s">
        <v>422</v>
      </c>
      <c r="X13" s="260"/>
      <c r="Z13" s="37"/>
      <c r="AA13" s="37"/>
      <c r="AB13" s="37" t="s">
        <v>33</v>
      </c>
      <c r="AC13" s="35">
        <v>0</v>
      </c>
      <c r="AD13" s="262"/>
    </row>
    <row r="14" spans="2:30" ht="15.75">
      <c r="B14" s="210"/>
      <c r="C14" s="45" t="s">
        <v>36</v>
      </c>
      <c r="D14" s="214">
        <f aca="true" t="shared" si="1" ref="D14:J14">AVERAGE(D10:D13)</f>
        <v>950</v>
      </c>
      <c r="E14" s="214">
        <f t="shared" si="1"/>
        <v>477.5</v>
      </c>
      <c r="F14" s="214">
        <f t="shared" si="1"/>
        <v>200</v>
      </c>
      <c r="G14" s="214">
        <f t="shared" si="1"/>
        <v>365</v>
      </c>
      <c r="H14" s="214">
        <f t="shared" si="1"/>
        <v>475</v>
      </c>
      <c r="I14" s="214">
        <f t="shared" si="1"/>
        <v>207.5</v>
      </c>
      <c r="J14" s="214">
        <f t="shared" si="1"/>
        <v>370</v>
      </c>
      <c r="K14" s="212" t="s">
        <v>422</v>
      </c>
      <c r="X14" s="260"/>
      <c r="Z14" s="37"/>
      <c r="AA14" s="37"/>
      <c r="AB14" s="37" t="s">
        <v>34</v>
      </c>
      <c r="AC14" s="35">
        <v>1.3</v>
      </c>
      <c r="AD14" s="262"/>
    </row>
    <row r="15" spans="2:30" ht="15.75">
      <c r="B15" s="27"/>
      <c r="C15" s="26"/>
      <c r="D15" s="26"/>
      <c r="E15" s="26"/>
      <c r="F15" s="26"/>
      <c r="G15" s="26"/>
      <c r="H15" s="26"/>
      <c r="I15" s="26"/>
      <c r="J15" s="26"/>
      <c r="K15" s="26"/>
      <c r="X15" s="260"/>
      <c r="Z15" s="37"/>
      <c r="AA15" s="37"/>
      <c r="AB15" s="37" t="s">
        <v>35</v>
      </c>
      <c r="AC15" s="35">
        <v>1.1</v>
      </c>
      <c r="AD15" s="262"/>
    </row>
    <row r="16" spans="2:30" ht="15.75">
      <c r="B16" s="205" t="s">
        <v>0</v>
      </c>
      <c r="C16" s="44" t="s">
        <v>32</v>
      </c>
      <c r="D16" s="329">
        <v>0</v>
      </c>
      <c r="E16" s="329">
        <v>0.8351648351648352</v>
      </c>
      <c r="F16" s="329">
        <v>0.5494505494505495</v>
      </c>
      <c r="G16" s="329">
        <v>0.21978021978021978</v>
      </c>
      <c r="H16" s="329">
        <v>-0.21978021978021978</v>
      </c>
      <c r="I16" s="329">
        <v>0.21978021978021978</v>
      </c>
      <c r="J16" s="329">
        <v>0.32967032967032966</v>
      </c>
      <c r="K16" s="207" t="s">
        <v>153</v>
      </c>
      <c r="X16" s="260"/>
      <c r="Z16" s="37">
        <v>16</v>
      </c>
      <c r="AA16" s="37" t="s">
        <v>106</v>
      </c>
      <c r="AB16" s="37" t="s">
        <v>32</v>
      </c>
      <c r="AC16" s="35">
        <v>0</v>
      </c>
      <c r="AD16" s="262"/>
    </row>
    <row r="17" spans="2:30" ht="15.75">
      <c r="B17" s="208"/>
      <c r="C17" s="26" t="s">
        <v>33</v>
      </c>
      <c r="D17" s="330">
        <v>0</v>
      </c>
      <c r="E17" s="330">
        <v>0.5494505494505495</v>
      </c>
      <c r="F17" s="330">
        <v>0.6593406593406593</v>
      </c>
      <c r="G17" s="330">
        <v>0.43956043956043955</v>
      </c>
      <c r="H17" s="330">
        <v>0.21978021978021978</v>
      </c>
      <c r="I17" s="330">
        <v>0.6593406593406593</v>
      </c>
      <c r="J17" s="330">
        <v>0.21978021978021978</v>
      </c>
      <c r="K17" s="209" t="s">
        <v>153</v>
      </c>
      <c r="X17" s="260"/>
      <c r="AA17" s="37"/>
      <c r="AB17" s="37" t="s">
        <v>33</v>
      </c>
      <c r="AC17" s="35">
        <v>0</v>
      </c>
      <c r="AD17" s="262"/>
    </row>
    <row r="18" spans="2:30" ht="15.75">
      <c r="B18" s="208"/>
      <c r="C18" s="26" t="s">
        <v>34</v>
      </c>
      <c r="D18" s="330">
        <v>0</v>
      </c>
      <c r="E18" s="330">
        <v>0.6666666666666666</v>
      </c>
      <c r="F18" s="330">
        <v>0.989010989010989</v>
      </c>
      <c r="G18" s="330">
        <v>0.43956043956043955</v>
      </c>
      <c r="H18" s="330">
        <v>0.21978021978021978</v>
      </c>
      <c r="I18" s="330">
        <v>0.989010989010989</v>
      </c>
      <c r="J18" s="330">
        <v>0.5494505494505495</v>
      </c>
      <c r="K18" s="209" t="s">
        <v>153</v>
      </c>
      <c r="X18" s="260"/>
      <c r="AA18" s="37"/>
      <c r="AB18" s="37" t="s">
        <v>34</v>
      </c>
      <c r="AC18" s="35">
        <v>1.3</v>
      </c>
      <c r="AD18" s="262"/>
    </row>
    <row r="19" spans="2:30" ht="15.75">
      <c r="B19" s="208"/>
      <c r="C19" s="26" t="s">
        <v>35</v>
      </c>
      <c r="D19" s="330">
        <v>0</v>
      </c>
      <c r="E19" s="330">
        <v>0</v>
      </c>
      <c r="F19" s="330">
        <v>0.43956043956043955</v>
      </c>
      <c r="G19" s="330">
        <v>0.21978021978021978</v>
      </c>
      <c r="H19" s="330">
        <v>-0.21978021978021978</v>
      </c>
      <c r="I19" s="330">
        <v>0.7692307692307693</v>
      </c>
      <c r="J19" s="330">
        <v>0.5494505494505495</v>
      </c>
      <c r="K19" s="209" t="s">
        <v>153</v>
      </c>
      <c r="X19" s="260"/>
      <c r="AA19" s="37"/>
      <c r="AB19" s="37" t="s">
        <v>35</v>
      </c>
      <c r="AC19" s="35">
        <v>1.1</v>
      </c>
      <c r="AD19" s="262"/>
    </row>
    <row r="20" spans="2:30" ht="15.75">
      <c r="B20" s="210"/>
      <c r="C20" s="45" t="s">
        <v>36</v>
      </c>
      <c r="D20" s="215">
        <f>AVERAGE(D16:D19)</f>
        <v>0</v>
      </c>
      <c r="E20" s="215">
        <f aca="true" t="shared" si="2" ref="E20:J20">AVERAGE(E16:E19)</f>
        <v>0.5128205128205128</v>
      </c>
      <c r="F20" s="215">
        <f t="shared" si="2"/>
        <v>0.6593406593406594</v>
      </c>
      <c r="G20" s="215">
        <f t="shared" si="2"/>
        <v>0.3296703296703297</v>
      </c>
      <c r="H20" s="215">
        <f t="shared" si="2"/>
        <v>0</v>
      </c>
      <c r="I20" s="215">
        <f t="shared" si="2"/>
        <v>0.6593406593406593</v>
      </c>
      <c r="J20" s="215">
        <f t="shared" si="2"/>
        <v>0.4120879120879121</v>
      </c>
      <c r="K20" s="212" t="s">
        <v>153</v>
      </c>
      <c r="X20" s="260"/>
      <c r="Z20" s="37">
        <v>20</v>
      </c>
      <c r="AA20" s="37" t="s">
        <v>108</v>
      </c>
      <c r="AB20" s="37" t="s">
        <v>32</v>
      </c>
      <c r="AC20" s="35">
        <v>0</v>
      </c>
      <c r="AD20" s="262"/>
    </row>
    <row r="21" spans="2:30" ht="15.75">
      <c r="B21" s="27"/>
      <c r="C21" s="26"/>
      <c r="D21" s="26"/>
      <c r="E21" s="26"/>
      <c r="F21" s="26"/>
      <c r="G21" s="26"/>
      <c r="H21" s="26"/>
      <c r="I21" s="26"/>
      <c r="J21" s="26"/>
      <c r="K21" s="26"/>
      <c r="X21" s="260"/>
      <c r="AA21" s="37"/>
      <c r="AB21" s="37" t="s">
        <v>33</v>
      </c>
      <c r="AC21" s="35">
        <v>0</v>
      </c>
      <c r="AD21" s="262"/>
    </row>
    <row r="22" spans="2:30" ht="15.75">
      <c r="B22" s="205" t="s">
        <v>418</v>
      </c>
      <c r="C22" s="44" t="s">
        <v>32</v>
      </c>
      <c r="D22" s="206">
        <v>4</v>
      </c>
      <c r="E22" s="206">
        <v>4</v>
      </c>
      <c r="F22" s="206">
        <v>4</v>
      </c>
      <c r="G22" s="206">
        <v>4</v>
      </c>
      <c r="H22" s="206">
        <v>4</v>
      </c>
      <c r="I22" s="206">
        <v>4</v>
      </c>
      <c r="J22" s="206">
        <v>4</v>
      </c>
      <c r="K22" s="207" t="s">
        <v>88</v>
      </c>
      <c r="X22" s="260"/>
      <c r="AA22" s="37"/>
      <c r="AB22" s="37" t="s">
        <v>34</v>
      </c>
      <c r="AC22" s="35">
        <v>1.3</v>
      </c>
      <c r="AD22" s="262"/>
    </row>
    <row r="23" spans="2:30" ht="15.75">
      <c r="B23" s="208"/>
      <c r="C23" s="26" t="s">
        <v>33</v>
      </c>
      <c r="D23" s="38">
        <v>11</v>
      </c>
      <c r="E23" s="38">
        <v>11</v>
      </c>
      <c r="F23" s="38">
        <v>11</v>
      </c>
      <c r="G23" s="38">
        <v>11</v>
      </c>
      <c r="H23" s="38">
        <v>11</v>
      </c>
      <c r="I23" s="38">
        <v>11</v>
      </c>
      <c r="J23" s="38">
        <v>11</v>
      </c>
      <c r="K23" s="209" t="s">
        <v>88</v>
      </c>
      <c r="X23" s="260"/>
      <c r="AA23" s="37"/>
      <c r="AB23" s="37" t="s">
        <v>35</v>
      </c>
      <c r="AC23" s="35">
        <v>1.1</v>
      </c>
      <c r="AD23" s="262"/>
    </row>
    <row r="24" spans="2:30" ht="15.75">
      <c r="B24" s="208"/>
      <c r="C24" s="26" t="s">
        <v>34</v>
      </c>
      <c r="D24" s="38">
        <v>7</v>
      </c>
      <c r="E24" s="38">
        <v>7</v>
      </c>
      <c r="F24" s="38">
        <v>7</v>
      </c>
      <c r="G24" s="38">
        <v>7</v>
      </c>
      <c r="H24" s="38">
        <v>7</v>
      </c>
      <c r="I24" s="38">
        <v>7</v>
      </c>
      <c r="J24" s="38">
        <v>7</v>
      </c>
      <c r="K24" s="209" t="s">
        <v>88</v>
      </c>
      <c r="X24" s="260"/>
      <c r="Z24" s="37">
        <v>24</v>
      </c>
      <c r="AA24" s="37" t="s">
        <v>109</v>
      </c>
      <c r="AB24" s="37" t="s">
        <v>32</v>
      </c>
      <c r="AC24" s="35">
        <v>1.3</v>
      </c>
      <c r="AD24" s="262"/>
    </row>
    <row r="25" spans="2:30" ht="15.75">
      <c r="B25" s="208"/>
      <c r="C25" s="26" t="s">
        <v>35</v>
      </c>
      <c r="D25" s="38">
        <v>5.5</v>
      </c>
      <c r="E25" s="38">
        <v>5.5</v>
      </c>
      <c r="F25" s="38">
        <v>5.5</v>
      </c>
      <c r="G25" s="38">
        <v>5.5</v>
      </c>
      <c r="H25" s="38">
        <v>5.5</v>
      </c>
      <c r="I25" s="38">
        <v>5.5</v>
      </c>
      <c r="J25" s="38">
        <v>5.5</v>
      </c>
      <c r="K25" s="209" t="s">
        <v>88</v>
      </c>
      <c r="X25" s="260"/>
      <c r="Z25" s="37"/>
      <c r="AA25" s="37"/>
      <c r="AB25" s="37" t="s">
        <v>33</v>
      </c>
      <c r="AC25" s="35">
        <v>1.1</v>
      </c>
      <c r="AD25" s="262"/>
    </row>
    <row r="26" spans="2:30" ht="15.75">
      <c r="B26" s="210"/>
      <c r="C26" s="45" t="s">
        <v>36</v>
      </c>
      <c r="D26" s="214">
        <f aca="true" t="shared" si="3" ref="D26:J26">AVERAGE(D22:D25)</f>
        <v>6.875</v>
      </c>
      <c r="E26" s="214">
        <f t="shared" si="3"/>
        <v>6.875</v>
      </c>
      <c r="F26" s="214">
        <f t="shared" si="3"/>
        <v>6.875</v>
      </c>
      <c r="G26" s="214">
        <f t="shared" si="3"/>
        <v>6.875</v>
      </c>
      <c r="H26" s="214">
        <f t="shared" si="3"/>
        <v>6.875</v>
      </c>
      <c r="I26" s="214">
        <f t="shared" si="3"/>
        <v>6.875</v>
      </c>
      <c r="J26" s="214">
        <f t="shared" si="3"/>
        <v>6.875</v>
      </c>
      <c r="K26" s="212" t="s">
        <v>88</v>
      </c>
      <c r="X26" s="260"/>
      <c r="Z26" s="37"/>
      <c r="AA26" s="37"/>
      <c r="AB26" s="37" t="s">
        <v>34</v>
      </c>
      <c r="AC26" s="35">
        <v>0</v>
      </c>
      <c r="AD26" s="262"/>
    </row>
    <row r="27" spans="2:30" ht="15.75">
      <c r="B27" s="27"/>
      <c r="C27" s="26"/>
      <c r="D27" s="26"/>
      <c r="E27" s="26"/>
      <c r="F27" s="26"/>
      <c r="G27" s="26"/>
      <c r="H27" s="26"/>
      <c r="I27" s="26"/>
      <c r="J27" s="26"/>
      <c r="K27" s="26"/>
      <c r="X27" s="260"/>
      <c r="Z27" s="37"/>
      <c r="AA27" s="37"/>
      <c r="AB27" s="37" t="s">
        <v>35</v>
      </c>
      <c r="AC27" s="35">
        <v>0</v>
      </c>
      <c r="AD27" s="262"/>
    </row>
    <row r="28" spans="2:30" ht="15.75">
      <c r="B28" s="205" t="s">
        <v>419</v>
      </c>
      <c r="C28" s="44" t="s">
        <v>32</v>
      </c>
      <c r="D28" s="206">
        <v>48</v>
      </c>
      <c r="E28" s="206">
        <v>48</v>
      </c>
      <c r="F28" s="206">
        <v>48</v>
      </c>
      <c r="G28" s="206">
        <v>48</v>
      </c>
      <c r="H28" s="206">
        <v>48</v>
      </c>
      <c r="I28" s="206">
        <v>48</v>
      </c>
      <c r="J28" s="206">
        <v>48</v>
      </c>
      <c r="K28" s="207" t="s">
        <v>88</v>
      </c>
      <c r="X28" s="260"/>
      <c r="Z28" s="37">
        <v>28</v>
      </c>
      <c r="AA28" s="37" t="s">
        <v>110</v>
      </c>
      <c r="AB28" s="37" t="s">
        <v>32</v>
      </c>
      <c r="AC28" s="35">
        <v>0</v>
      </c>
      <c r="AD28" s="262"/>
    </row>
    <row r="29" spans="2:30" ht="15.75">
      <c r="B29" s="208"/>
      <c r="C29" s="26" t="s">
        <v>33</v>
      </c>
      <c r="D29" s="38">
        <v>56</v>
      </c>
      <c r="E29" s="38">
        <v>56</v>
      </c>
      <c r="F29" s="38">
        <v>56</v>
      </c>
      <c r="G29" s="38">
        <v>56</v>
      </c>
      <c r="H29" s="38">
        <v>56</v>
      </c>
      <c r="I29" s="38">
        <v>56</v>
      </c>
      <c r="J29" s="38">
        <v>56</v>
      </c>
      <c r="K29" s="209" t="s">
        <v>88</v>
      </c>
      <c r="X29" s="260"/>
      <c r="Z29" s="37"/>
      <c r="AA29" s="37"/>
      <c r="AB29" s="37" t="s">
        <v>33</v>
      </c>
      <c r="AC29" s="35">
        <v>1.3</v>
      </c>
      <c r="AD29" s="262"/>
    </row>
    <row r="30" spans="2:30" ht="15.75">
      <c r="B30" s="208"/>
      <c r="C30" s="26" t="s">
        <v>34</v>
      </c>
      <c r="D30" s="38">
        <v>53</v>
      </c>
      <c r="E30" s="38">
        <v>53</v>
      </c>
      <c r="F30" s="38">
        <v>53</v>
      </c>
      <c r="G30" s="38">
        <v>53</v>
      </c>
      <c r="H30" s="38">
        <v>53</v>
      </c>
      <c r="I30" s="38">
        <v>53</v>
      </c>
      <c r="J30" s="38">
        <v>53</v>
      </c>
      <c r="K30" s="209" t="s">
        <v>88</v>
      </c>
      <c r="X30" s="260"/>
      <c r="Z30" s="37"/>
      <c r="AA30" s="37"/>
      <c r="AB30" s="37" t="s">
        <v>34</v>
      </c>
      <c r="AC30" s="35">
        <v>1.1</v>
      </c>
      <c r="AD30" s="262"/>
    </row>
    <row r="31" spans="2:30" ht="15.75">
      <c r="B31" s="208"/>
      <c r="C31" s="26" t="s">
        <v>35</v>
      </c>
      <c r="D31" s="38">
        <v>51</v>
      </c>
      <c r="E31" s="38">
        <v>51</v>
      </c>
      <c r="F31" s="38">
        <v>51</v>
      </c>
      <c r="G31" s="38">
        <v>51</v>
      </c>
      <c r="H31" s="38">
        <v>51</v>
      </c>
      <c r="I31" s="38">
        <v>51</v>
      </c>
      <c r="J31" s="38">
        <v>51</v>
      </c>
      <c r="K31" s="209" t="s">
        <v>88</v>
      </c>
      <c r="N31" s="35" t="s">
        <v>405</v>
      </c>
      <c r="X31" s="260"/>
      <c r="Z31" s="37"/>
      <c r="AA31" s="37"/>
      <c r="AB31" s="37" t="s">
        <v>35</v>
      </c>
      <c r="AC31" s="35">
        <v>0</v>
      </c>
      <c r="AD31" s="262"/>
    </row>
    <row r="32" spans="2:30" ht="15.75">
      <c r="B32" s="210"/>
      <c r="C32" s="45" t="s">
        <v>36</v>
      </c>
      <c r="D32" s="214">
        <f>AVERAGE(D28:D31)</f>
        <v>52</v>
      </c>
      <c r="E32" s="214">
        <f aca="true" t="shared" si="4" ref="E32:J32">AVERAGE(E28:E31)</f>
        <v>52</v>
      </c>
      <c r="F32" s="214">
        <f t="shared" si="4"/>
        <v>52</v>
      </c>
      <c r="G32" s="214">
        <f t="shared" si="4"/>
        <v>52</v>
      </c>
      <c r="H32" s="214">
        <f t="shared" si="4"/>
        <v>52</v>
      </c>
      <c r="I32" s="214">
        <f t="shared" si="4"/>
        <v>52</v>
      </c>
      <c r="J32" s="214">
        <f t="shared" si="4"/>
        <v>52</v>
      </c>
      <c r="K32" s="212" t="s">
        <v>88</v>
      </c>
      <c r="N32" s="38"/>
      <c r="O32" s="300">
        <v>1</v>
      </c>
      <c r="P32" s="38"/>
      <c r="Q32" s="38"/>
      <c r="X32" s="260"/>
      <c r="Z32" s="37">
        <v>32</v>
      </c>
      <c r="AA32" s="37" t="s">
        <v>105</v>
      </c>
      <c r="AB32" s="37" t="s">
        <v>32</v>
      </c>
      <c r="AC32" s="35">
        <v>0</v>
      </c>
      <c r="AD32" s="262"/>
    </row>
    <row r="33" spans="2:30" ht="15.75">
      <c r="B33" s="27"/>
      <c r="C33" s="26"/>
      <c r="D33" s="26"/>
      <c r="E33" s="26"/>
      <c r="F33" s="26"/>
      <c r="G33" s="26"/>
      <c r="H33" s="26"/>
      <c r="I33" s="26"/>
      <c r="J33" s="26"/>
      <c r="K33" s="26"/>
      <c r="X33" s="260"/>
      <c r="Z33" s="37"/>
      <c r="AA33" s="37"/>
      <c r="AB33" s="37" t="s">
        <v>33</v>
      </c>
      <c r="AC33" s="35">
        <v>1.3</v>
      </c>
      <c r="AD33" s="262"/>
    </row>
    <row r="34" spans="2:30" ht="15.75">
      <c r="B34" s="205" t="s">
        <v>21</v>
      </c>
      <c r="C34" s="206">
        <v>10</v>
      </c>
      <c r="D34" s="44"/>
      <c r="E34" s="44"/>
      <c r="F34" s="44"/>
      <c r="G34" s="44"/>
      <c r="H34" s="44"/>
      <c r="I34" s="44"/>
      <c r="J34" s="44"/>
      <c r="K34" s="217" t="s">
        <v>23</v>
      </c>
      <c r="N34" s="35" t="s">
        <v>406</v>
      </c>
      <c r="X34" s="260"/>
      <c r="Z34" s="37"/>
      <c r="AA34" s="37"/>
      <c r="AB34" s="37" t="s">
        <v>34</v>
      </c>
      <c r="AC34" s="35">
        <v>1.1</v>
      </c>
      <c r="AD34" s="262"/>
    </row>
    <row r="35" spans="2:30" ht="15.75">
      <c r="B35" s="210" t="s">
        <v>22</v>
      </c>
      <c r="C35" s="222">
        <v>400</v>
      </c>
      <c r="D35" s="45"/>
      <c r="E35" s="45"/>
      <c r="F35" s="45"/>
      <c r="G35" s="45"/>
      <c r="H35" s="45"/>
      <c r="I35" s="45"/>
      <c r="J35" s="45"/>
      <c r="K35" s="218" t="s">
        <v>23</v>
      </c>
      <c r="N35" s="38"/>
      <c r="O35" s="300">
        <v>5</v>
      </c>
      <c r="P35" s="38"/>
      <c r="Q35" s="38"/>
      <c r="R35" s="38"/>
      <c r="X35" s="260"/>
      <c r="Z35" s="37"/>
      <c r="AA35" s="37"/>
      <c r="AB35" s="37" t="s">
        <v>35</v>
      </c>
      <c r="AC35" s="35">
        <v>0</v>
      </c>
      <c r="AD35" s="262"/>
    </row>
    <row r="36" spans="2:30" ht="15.75">
      <c r="B36" s="27"/>
      <c r="C36" s="26"/>
      <c r="D36" s="26"/>
      <c r="E36" s="26"/>
      <c r="F36" s="26"/>
      <c r="G36" s="26"/>
      <c r="H36" s="26"/>
      <c r="I36" s="26"/>
      <c r="J36" s="26"/>
      <c r="K36" s="28"/>
      <c r="X36" s="260"/>
      <c r="Z36" s="37">
        <v>36</v>
      </c>
      <c r="AA36" s="37" t="s">
        <v>104</v>
      </c>
      <c r="AB36" s="37" t="s">
        <v>32</v>
      </c>
      <c r="AC36" s="35">
        <v>1.3</v>
      </c>
      <c r="AD36" s="262"/>
    </row>
    <row r="37" spans="2:30" ht="15.75">
      <c r="B37" s="205" t="s">
        <v>121</v>
      </c>
      <c r="C37" s="44" t="s">
        <v>32</v>
      </c>
      <c r="D37" s="206">
        <v>0</v>
      </c>
      <c r="E37" s="44"/>
      <c r="F37" s="44"/>
      <c r="G37" s="44"/>
      <c r="H37" s="44"/>
      <c r="I37" s="44"/>
      <c r="J37" s="44"/>
      <c r="K37" s="219" t="s">
        <v>423</v>
      </c>
      <c r="N37" s="35" t="s">
        <v>407</v>
      </c>
      <c r="X37" s="260"/>
      <c r="Z37" s="37"/>
      <c r="AA37" s="37"/>
      <c r="AB37" s="37" t="s">
        <v>33</v>
      </c>
      <c r="AC37" s="35">
        <v>1.1</v>
      </c>
      <c r="AD37" s="262"/>
    </row>
    <row r="38" spans="2:30" ht="15.75">
      <c r="B38" s="208"/>
      <c r="C38" s="26" t="s">
        <v>33</v>
      </c>
      <c r="D38" s="38">
        <v>0</v>
      </c>
      <c r="E38" s="26"/>
      <c r="F38" s="26"/>
      <c r="G38" s="26"/>
      <c r="H38" s="26"/>
      <c r="I38" s="26"/>
      <c r="J38" s="26"/>
      <c r="K38" s="220" t="s">
        <v>423</v>
      </c>
      <c r="N38" s="38"/>
      <c r="O38" s="300">
        <v>2</v>
      </c>
      <c r="P38" s="38"/>
      <c r="Q38" s="38"/>
      <c r="X38" s="260"/>
      <c r="Z38" s="37"/>
      <c r="AA38" s="37"/>
      <c r="AB38" s="37" t="s">
        <v>34</v>
      </c>
      <c r="AC38" s="35">
        <v>0</v>
      </c>
      <c r="AD38" s="262"/>
    </row>
    <row r="39" spans="2:30" ht="15.75">
      <c r="B39" s="208"/>
      <c r="C39" s="26" t="s">
        <v>34</v>
      </c>
      <c r="D39" s="38">
        <v>0</v>
      </c>
      <c r="E39" s="26"/>
      <c r="F39" s="26"/>
      <c r="G39" s="26"/>
      <c r="H39" s="26"/>
      <c r="I39" s="26"/>
      <c r="J39" s="26"/>
      <c r="K39" s="220" t="s">
        <v>423</v>
      </c>
      <c r="X39" s="263"/>
      <c r="Y39" s="145"/>
      <c r="Z39" s="264"/>
      <c r="AA39" s="264"/>
      <c r="AB39" s="264" t="s">
        <v>35</v>
      </c>
      <c r="AC39" s="145">
        <v>0</v>
      </c>
      <c r="AD39" s="265"/>
    </row>
    <row r="40" spans="2:11" ht="15.75">
      <c r="B40" s="208"/>
      <c r="C40" s="26" t="s">
        <v>35</v>
      </c>
      <c r="D40" s="38">
        <v>0</v>
      </c>
      <c r="E40" s="26"/>
      <c r="F40" s="26"/>
      <c r="G40" s="26"/>
      <c r="H40" s="26"/>
      <c r="I40" s="26"/>
      <c r="J40" s="26"/>
      <c r="K40" s="220" t="s">
        <v>423</v>
      </c>
    </row>
    <row r="41" spans="2:11" ht="15.75">
      <c r="B41" s="210"/>
      <c r="C41" s="45" t="s">
        <v>86</v>
      </c>
      <c r="D41" s="45">
        <f>SUM(D37:D40)</f>
        <v>0</v>
      </c>
      <c r="E41" s="45"/>
      <c r="F41" s="45"/>
      <c r="G41" s="45"/>
      <c r="H41" s="45"/>
      <c r="I41" s="45"/>
      <c r="J41" s="45"/>
      <c r="K41" s="221" t="s">
        <v>423</v>
      </c>
    </row>
    <row r="42" spans="2:11" ht="15.75">
      <c r="B42" s="27"/>
      <c r="C42" s="26"/>
      <c r="D42" s="26"/>
      <c r="E42" s="26"/>
      <c r="F42" s="26"/>
      <c r="G42" s="26"/>
      <c r="H42" s="26"/>
      <c r="I42" s="26"/>
      <c r="J42" s="26"/>
      <c r="K42" s="26"/>
    </row>
    <row r="43" spans="2:22" ht="15.75">
      <c r="B43" s="205" t="s">
        <v>120</v>
      </c>
      <c r="C43" s="44" t="s">
        <v>32</v>
      </c>
      <c r="D43" s="206">
        <v>0</v>
      </c>
      <c r="E43" s="44"/>
      <c r="F43" s="44"/>
      <c r="G43" s="44"/>
      <c r="H43" s="44"/>
      <c r="I43" s="44"/>
      <c r="J43" s="44"/>
      <c r="K43" s="219" t="s">
        <v>423</v>
      </c>
      <c r="M43" s="37"/>
      <c r="O43" s="39"/>
      <c r="P43" s="39"/>
      <c r="Q43" s="39"/>
      <c r="R43" s="39"/>
      <c r="S43" s="39"/>
      <c r="T43" s="39"/>
      <c r="U43" s="39"/>
      <c r="V43" s="315"/>
    </row>
    <row r="44" spans="2:22" ht="15.75">
      <c r="B44" s="208"/>
      <c r="C44" s="26" t="s">
        <v>33</v>
      </c>
      <c r="D44" s="38">
        <v>0</v>
      </c>
      <c r="E44" s="26"/>
      <c r="F44" s="26"/>
      <c r="G44" s="26"/>
      <c r="H44" s="26"/>
      <c r="I44" s="26"/>
      <c r="J44" s="26"/>
      <c r="K44" s="220" t="s">
        <v>423</v>
      </c>
      <c r="M44" s="37"/>
      <c r="O44" s="39"/>
      <c r="P44" s="39"/>
      <c r="Q44" s="39"/>
      <c r="R44" s="39"/>
      <c r="S44" s="39"/>
      <c r="T44" s="39"/>
      <c r="U44" s="39"/>
      <c r="V44" s="315"/>
    </row>
    <row r="45" spans="2:22" ht="15.75">
      <c r="B45" s="208"/>
      <c r="C45" s="26" t="s">
        <v>34</v>
      </c>
      <c r="D45" s="38">
        <v>0</v>
      </c>
      <c r="E45" s="26"/>
      <c r="F45" s="26"/>
      <c r="G45" s="26"/>
      <c r="H45" s="26"/>
      <c r="I45" s="26"/>
      <c r="J45" s="26"/>
      <c r="K45" s="220" t="s">
        <v>423</v>
      </c>
      <c r="M45" s="37"/>
      <c r="O45" s="39"/>
      <c r="P45" s="39"/>
      <c r="Q45" s="39"/>
      <c r="R45" s="39"/>
      <c r="S45" s="39"/>
      <c r="T45" s="39"/>
      <c r="U45" s="39"/>
      <c r="V45" s="315"/>
    </row>
    <row r="46" spans="2:22" ht="15.75">
      <c r="B46" s="208"/>
      <c r="C46" s="26" t="s">
        <v>35</v>
      </c>
      <c r="D46" s="38">
        <v>0</v>
      </c>
      <c r="E46" s="26"/>
      <c r="F46" s="26"/>
      <c r="G46" s="26"/>
      <c r="H46" s="26"/>
      <c r="I46" s="26"/>
      <c r="J46" s="26"/>
      <c r="K46" s="220" t="s">
        <v>423</v>
      </c>
      <c r="M46" s="37"/>
      <c r="O46" s="39"/>
      <c r="P46" s="39"/>
      <c r="Q46" s="39"/>
      <c r="R46" s="39"/>
      <c r="S46" s="39"/>
      <c r="T46" s="39"/>
      <c r="U46" s="39"/>
      <c r="V46" s="315"/>
    </row>
    <row r="47" spans="2:22" ht="15.75">
      <c r="B47" s="210"/>
      <c r="C47" s="45" t="s">
        <v>86</v>
      </c>
      <c r="D47" s="45">
        <f>SUM(D43:D46)</f>
        <v>0</v>
      </c>
      <c r="E47" s="45"/>
      <c r="F47" s="45"/>
      <c r="G47" s="45"/>
      <c r="H47" s="45"/>
      <c r="I47" s="45"/>
      <c r="J47" s="45"/>
      <c r="K47" s="221" t="s">
        <v>423</v>
      </c>
      <c r="M47" s="37"/>
      <c r="O47" s="39"/>
      <c r="P47" s="39"/>
      <c r="Q47" s="39"/>
      <c r="R47" s="39"/>
      <c r="S47" s="39"/>
      <c r="T47" s="39"/>
      <c r="U47" s="39"/>
      <c r="V47" s="315"/>
    </row>
    <row r="48" spans="2:18" ht="15.75">
      <c r="B48" s="27"/>
      <c r="C48" s="26"/>
      <c r="D48" s="26"/>
      <c r="E48" s="26"/>
      <c r="F48" s="26"/>
      <c r="G48" s="26"/>
      <c r="H48" s="26"/>
      <c r="I48" s="26"/>
      <c r="J48" s="26"/>
      <c r="K48" s="26"/>
      <c r="N48" s="270"/>
      <c r="O48" s="270"/>
      <c r="P48" s="270"/>
      <c r="Q48" s="270"/>
      <c r="R48" s="270"/>
    </row>
    <row r="49" spans="2:18" ht="15.75">
      <c r="B49" s="205" t="s">
        <v>14</v>
      </c>
      <c r="C49" s="206">
        <v>30000</v>
      </c>
      <c r="D49" s="44"/>
      <c r="E49" s="44"/>
      <c r="F49" s="44"/>
      <c r="G49" s="44"/>
      <c r="H49" s="44"/>
      <c r="I49" s="44"/>
      <c r="J49" s="44"/>
      <c r="K49" s="219" t="s">
        <v>12</v>
      </c>
      <c r="N49" s="270"/>
      <c r="O49" s="270"/>
      <c r="P49" s="270"/>
      <c r="Q49" s="270"/>
      <c r="R49" s="270"/>
    </row>
    <row r="50" spans="2:11" ht="15.75">
      <c r="B50" s="208" t="s">
        <v>78</v>
      </c>
      <c r="C50" s="38">
        <v>12000</v>
      </c>
      <c r="D50" s="26"/>
      <c r="E50" s="26"/>
      <c r="F50" s="26"/>
      <c r="G50" s="26"/>
      <c r="H50" s="26"/>
      <c r="I50" s="26"/>
      <c r="J50" s="26"/>
      <c r="K50" s="220" t="s">
        <v>13</v>
      </c>
    </row>
    <row r="51" spans="2:11" ht="15.75">
      <c r="B51" s="210" t="s">
        <v>66</v>
      </c>
      <c r="C51" s="222">
        <v>1</v>
      </c>
      <c r="D51" s="45"/>
      <c r="E51" s="45"/>
      <c r="F51" s="45"/>
      <c r="G51" s="45"/>
      <c r="H51" s="45"/>
      <c r="I51" s="45"/>
      <c r="J51" s="45"/>
      <c r="K51" s="221" t="s">
        <v>68</v>
      </c>
    </row>
    <row r="52" spans="2:17" ht="15.75">
      <c r="B52" s="27"/>
      <c r="C52" s="26"/>
      <c r="D52" s="26"/>
      <c r="E52" s="26"/>
      <c r="F52" s="26"/>
      <c r="G52" s="26"/>
      <c r="H52" s="26"/>
      <c r="I52" s="299" t="s">
        <v>440</v>
      </c>
      <c r="J52" s="299"/>
      <c r="K52" s="299"/>
      <c r="L52" s="318"/>
      <c r="M52" s="318"/>
      <c r="N52" s="271"/>
      <c r="O52" s="270"/>
      <c r="P52" s="270"/>
      <c r="Q52" s="270"/>
    </row>
    <row r="53" spans="2:17" ht="15.75">
      <c r="B53" s="205"/>
      <c r="C53" s="44"/>
      <c r="D53" s="44"/>
      <c r="E53" s="44"/>
      <c r="F53" s="44"/>
      <c r="G53" s="44" t="s">
        <v>3</v>
      </c>
      <c r="H53" s="44" t="s">
        <v>320</v>
      </c>
      <c r="I53" s="44" t="str">
        <f>AC3</f>
        <v>Feed adjustment</v>
      </c>
      <c r="J53" s="44" t="s">
        <v>119</v>
      </c>
      <c r="K53" s="219"/>
      <c r="N53" s="270"/>
      <c r="O53" s="270"/>
      <c r="P53" s="270"/>
      <c r="Q53" s="270"/>
    </row>
    <row r="54" spans="2:17" ht="15.75">
      <c r="B54" s="208" t="s">
        <v>1</v>
      </c>
      <c r="C54" s="26" t="str">
        <f>C28</f>
        <v>Spring</v>
      </c>
      <c r="D54" s="26"/>
      <c r="E54" s="26"/>
      <c r="F54" s="26"/>
      <c r="G54" s="38">
        <v>4</v>
      </c>
      <c r="H54" s="38">
        <v>0.85</v>
      </c>
      <c r="I54" s="38">
        <f>IF($O$8=1,AC4,IF($O$8=2,AC8,IF($O$8=3,AC12,IF($O$8=4,AC16,IF($O$8=5,AC20,IF($O$8=6,AC24,IF($O$8=7,AC28,IF($O$8=8,AC32,AC36))))))))</f>
        <v>1.3</v>
      </c>
      <c r="J54" s="26" t="str">
        <f>IF(O8&gt;5,"Trop","Temp")</f>
        <v>Trop</v>
      </c>
      <c r="K54" s="220"/>
      <c r="N54" s="270"/>
      <c r="O54" s="270"/>
      <c r="P54" s="270"/>
      <c r="Q54" s="270"/>
    </row>
    <row r="55" spans="2:17" ht="15.75">
      <c r="B55" s="208"/>
      <c r="C55" s="26" t="str">
        <f>C29</f>
        <v>Summer</v>
      </c>
      <c r="D55" s="26"/>
      <c r="E55" s="26"/>
      <c r="F55" s="26"/>
      <c r="G55" s="38">
        <v>3</v>
      </c>
      <c r="H55" s="38">
        <v>0.85</v>
      </c>
      <c r="I55" s="38">
        <f>IF($O$8=1,AC5,IF($O$8=2,AC9,IF($O$8=3,AC13,IF($O$8=4,AC17,IF($O$8=5,AC21,IF($O$8=6,AC25,IF($O$8=7,AC29,IF($O$8=8,AC33,AC37))))))))</f>
        <v>1.1</v>
      </c>
      <c r="J55" s="26" t="str">
        <f>IF(O8&gt;5,"Trop","Temp")</f>
        <v>Trop</v>
      </c>
      <c r="K55" s="220"/>
      <c r="N55" s="270"/>
      <c r="O55" s="270"/>
      <c r="P55" s="270"/>
      <c r="Q55" s="270"/>
    </row>
    <row r="56" spans="2:11" ht="15.75">
      <c r="B56" s="208"/>
      <c r="C56" s="26" t="str">
        <f>C30</f>
        <v>Autumn</v>
      </c>
      <c r="D56" s="26"/>
      <c r="E56" s="26"/>
      <c r="F56" s="26"/>
      <c r="G56" s="38">
        <v>0</v>
      </c>
      <c r="H56" s="38">
        <v>0</v>
      </c>
      <c r="I56" s="38">
        <f>IF($O$8=1,AC6,IF($O$8=2,AC10,IF($O$8=3,AC14,IF($O$8=4,AC18,IF($O$8=5,AC22,IF($O$8=6,AC26,IF($O$8=7,AC30,IF($O$8=8,AC34,AC38))))))))</f>
        <v>0</v>
      </c>
      <c r="J56" s="26" t="str">
        <f>IF(O8&gt;5,"Trop","Temp")</f>
        <v>Trop</v>
      </c>
      <c r="K56" s="220"/>
    </row>
    <row r="57" spans="2:11" ht="15.75">
      <c r="B57" s="210"/>
      <c r="C57" s="45" t="str">
        <f>C31</f>
        <v>Winter</v>
      </c>
      <c r="D57" s="45"/>
      <c r="E57" s="45"/>
      <c r="F57" s="45"/>
      <c r="G57" s="222">
        <v>0</v>
      </c>
      <c r="H57" s="222">
        <v>0</v>
      </c>
      <c r="I57" s="222">
        <f>IF($O$8=1,AC7,IF($O$8=2,AC11,IF($O$8=3,AC15,IF($O$8=4,AC19,IF($O$8=5,AC23,IF($O$8=6,AC27,IF($O$8=7,AC31,IF($O$8=8,AC35,AC39))))))))</f>
        <v>0</v>
      </c>
      <c r="J57" s="45" t="str">
        <f>IF(O8&gt;5,"Trop","Temp")</f>
        <v>Trop</v>
      </c>
      <c r="K57" s="221"/>
    </row>
    <row r="58" ht="15.75"/>
    <row r="59" ht="15.75"/>
    <row r="60" ht="15.75"/>
    <row r="61" ht="15.75"/>
    <row r="65" ht="15.75">
      <c r="B65" s="35"/>
    </row>
    <row r="66" ht="30.75" customHeight="1">
      <c r="K66" s="41"/>
    </row>
    <row r="67" spans="7:11" ht="17.25" customHeight="1">
      <c r="G67" s="41"/>
      <c r="K67" s="41"/>
    </row>
    <row r="68" spans="2:10" ht="15.75">
      <c r="B68" s="268"/>
      <c r="C68" s="269"/>
      <c r="D68" s="269"/>
      <c r="E68" s="270"/>
      <c r="F68" s="270"/>
      <c r="G68" s="270"/>
      <c r="H68" s="270"/>
      <c r="I68" s="270"/>
      <c r="J68" s="270"/>
    </row>
    <row r="69" spans="2:10" ht="15.75">
      <c r="B69" s="270"/>
      <c r="C69" s="269"/>
      <c r="D69" s="270"/>
      <c r="E69" s="270"/>
      <c r="F69" s="270"/>
      <c r="G69" s="270"/>
      <c r="H69" s="270"/>
      <c r="I69" s="270"/>
      <c r="J69" s="270"/>
    </row>
    <row r="70" spans="2:10" ht="15.75">
      <c r="B70" s="270"/>
      <c r="C70" s="269"/>
      <c r="D70" s="270"/>
      <c r="E70" s="270"/>
      <c r="F70" s="270"/>
      <c r="G70" s="270"/>
      <c r="H70" s="270"/>
      <c r="I70" s="270"/>
      <c r="J70" s="270"/>
    </row>
    <row r="71" spans="2:10" ht="15.75">
      <c r="B71" s="270"/>
      <c r="C71" s="269"/>
      <c r="D71" s="270"/>
      <c r="E71" s="270"/>
      <c r="F71" s="270"/>
      <c r="G71" s="270"/>
      <c r="H71" s="270"/>
      <c r="I71" s="270"/>
      <c r="J71" s="270"/>
    </row>
  </sheetData>
  <sheetProtection sheet="1"/>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W117"/>
  <sheetViews>
    <sheetView showGridLines="0" zoomScale="80" zoomScaleNormal="80" zoomScalePageLayoutView="0" workbookViewId="0" topLeftCell="A1">
      <selection activeCell="A1" sqref="A1"/>
    </sheetView>
  </sheetViews>
  <sheetFormatPr defaultColWidth="8.8515625" defaultRowHeight="12.75"/>
  <cols>
    <col min="1" max="1" width="3.57421875" style="3" customWidth="1"/>
    <col min="2" max="2" width="29.7109375" style="3" customWidth="1"/>
    <col min="3" max="3" width="13.140625" style="3" customWidth="1"/>
    <col min="4" max="4" width="12.28125" style="3" bestFit="1" customWidth="1"/>
    <col min="5" max="5" width="12.140625" style="3" bestFit="1" customWidth="1"/>
    <col min="6" max="6" width="11.140625" style="3" customWidth="1"/>
    <col min="7" max="7" width="12.421875" style="3" customWidth="1"/>
    <col min="8" max="9" width="11.28125" style="3" customWidth="1"/>
    <col min="10" max="10" width="18.7109375" style="3" customWidth="1"/>
    <col min="11" max="11" width="10.7109375" style="3" bestFit="1" customWidth="1"/>
    <col min="12" max="12" width="8.8515625" style="3" customWidth="1"/>
    <col min="13" max="13" width="25.00390625" style="3" customWidth="1"/>
    <col min="14" max="15" width="11.28125" style="3" customWidth="1"/>
    <col min="16" max="17" width="10.28125" style="3" customWidth="1"/>
    <col min="18" max="18" width="11.28125" style="3" customWidth="1"/>
    <col min="19" max="19" width="10.57421875" style="3" customWidth="1"/>
    <col min="20" max="20" width="10.8515625" style="3" customWidth="1"/>
    <col min="21" max="21" width="10.28125" style="3" customWidth="1"/>
    <col min="22" max="22" width="18.28125" style="3" customWidth="1"/>
    <col min="23" max="23" width="19.57421875" style="61" customWidth="1"/>
    <col min="24" max="24" width="19.57421875" style="3" customWidth="1"/>
    <col min="25" max="16384" width="8.8515625" style="3" customWidth="1"/>
  </cols>
  <sheetData>
    <row r="1" ht="31.5" customHeight="1">
      <c r="B1" s="47" t="s">
        <v>91</v>
      </c>
    </row>
    <row r="2" ht="15.75">
      <c r="B2" s="48"/>
    </row>
    <row r="3" spans="2:23" ht="15" customHeight="1">
      <c r="B3" s="70" t="s">
        <v>112</v>
      </c>
      <c r="C3" s="70" t="s">
        <v>154</v>
      </c>
      <c r="D3" s="70" t="str">
        <f>'Data input'!D3</f>
        <v>Bulls &gt;1</v>
      </c>
      <c r="E3" s="70" t="str">
        <f>'Data input'!E3</f>
        <v>Bulls&lt;1</v>
      </c>
      <c r="F3" s="70" t="str">
        <f>'Data input'!F3</f>
        <v>Steers&lt;1</v>
      </c>
      <c r="G3" s="70" t="str">
        <f>'Data input'!G3</f>
        <v>Cows 1 to 2</v>
      </c>
      <c r="H3" s="70" t="str">
        <f>'Data input'!H3</f>
        <v>Cows &gt;2</v>
      </c>
      <c r="I3" s="70" t="str">
        <f>'Data input'!I3</f>
        <v>Cows&lt;1</v>
      </c>
      <c r="J3" s="70" t="str">
        <f>'Data input'!J3</f>
        <v>Steers&gt;1</v>
      </c>
      <c r="K3" s="70" t="str">
        <f>'Data input'!K3</f>
        <v>Units</v>
      </c>
      <c r="M3" s="57" t="s">
        <v>113</v>
      </c>
      <c r="N3" s="57" t="s">
        <v>154</v>
      </c>
      <c r="O3" s="70" t="str">
        <f>'Data input'!D3</f>
        <v>Bulls &gt;1</v>
      </c>
      <c r="P3" s="70" t="str">
        <f>'Data input'!E3</f>
        <v>Bulls&lt;1</v>
      </c>
      <c r="Q3" s="70" t="str">
        <f>'Data input'!F3</f>
        <v>Steers&lt;1</v>
      </c>
      <c r="R3" s="70" t="str">
        <f>'Data input'!G3</f>
        <v>Cows 1 to 2</v>
      </c>
      <c r="S3" s="70" t="str">
        <f>'Data input'!H3</f>
        <v>Cows &gt;2</v>
      </c>
      <c r="T3" s="70" t="str">
        <f>'Data input'!I3</f>
        <v>Cows&lt;1</v>
      </c>
      <c r="U3" s="70" t="str">
        <f>'Data input'!J3</f>
        <v>Steers&gt;1</v>
      </c>
      <c r="V3" s="70" t="str">
        <f>'Data input'!K3</f>
        <v>Units</v>
      </c>
      <c r="W3" s="58" t="s">
        <v>425</v>
      </c>
    </row>
    <row r="4" spans="2:23" ht="15.75">
      <c r="B4" s="59"/>
      <c r="C4" s="65"/>
      <c r="D4" s="59"/>
      <c r="E4" s="59"/>
      <c r="F4" s="59"/>
      <c r="G4" s="59"/>
      <c r="H4" s="59"/>
      <c r="I4" s="59"/>
      <c r="J4" s="59"/>
      <c r="K4" s="59"/>
      <c r="M4" s="65"/>
      <c r="N4" s="65"/>
      <c r="O4" s="65"/>
      <c r="P4" s="65"/>
      <c r="Q4" s="65"/>
      <c r="R4" s="65"/>
      <c r="S4" s="65"/>
      <c r="T4" s="65"/>
      <c r="U4" s="65"/>
      <c r="V4" s="65"/>
      <c r="W4" s="75"/>
    </row>
    <row r="5" spans="2:23" ht="15.75">
      <c r="B5" s="59" t="s">
        <v>433</v>
      </c>
      <c r="C5" s="65" t="s">
        <v>32</v>
      </c>
      <c r="D5" s="65">
        <f>'Data input'!D4</f>
        <v>20</v>
      </c>
      <c r="E5" s="65">
        <f>'Data input'!E4</f>
        <v>0</v>
      </c>
      <c r="F5" s="65">
        <f>'Data input'!F4</f>
        <v>375</v>
      </c>
      <c r="G5" s="65">
        <f>'Data input'!G4</f>
        <v>254</v>
      </c>
      <c r="H5" s="65">
        <f>'Data input'!H4</f>
        <v>681</v>
      </c>
      <c r="I5" s="65">
        <f>'Data input'!I4</f>
        <v>375</v>
      </c>
      <c r="J5" s="66">
        <f>'Data input'!J4</f>
        <v>39</v>
      </c>
      <c r="K5" s="65" t="str">
        <f>'Data input'!K4</f>
        <v>head</v>
      </c>
      <c r="M5" s="60" t="s">
        <v>37</v>
      </c>
      <c r="N5" s="65"/>
      <c r="O5" s="59" t="s">
        <v>156</v>
      </c>
      <c r="P5" s="65"/>
      <c r="Q5" s="65"/>
      <c r="R5" s="65"/>
      <c r="S5" s="65"/>
      <c r="T5" s="65"/>
      <c r="U5" s="65"/>
      <c r="V5" s="65"/>
      <c r="W5" s="75" t="s">
        <v>157</v>
      </c>
    </row>
    <row r="6" spans="2:23" ht="15.75">
      <c r="B6" s="59"/>
      <c r="C6" s="65" t="s">
        <v>33</v>
      </c>
      <c r="D6" s="65">
        <f>'Data input'!D5</f>
        <v>20</v>
      </c>
      <c r="E6" s="65">
        <f>'Data input'!E5</f>
        <v>39</v>
      </c>
      <c r="F6" s="65">
        <f>'Data input'!F5</f>
        <v>0</v>
      </c>
      <c r="G6" s="65">
        <f>'Data input'!G5</f>
        <v>343</v>
      </c>
      <c r="H6" s="65">
        <f>'Data input'!H5</f>
        <v>966</v>
      </c>
      <c r="I6" s="65">
        <f>'Data input'!I5</f>
        <v>0</v>
      </c>
      <c r="J6" s="66">
        <f>'Data input'!J5</f>
        <v>354</v>
      </c>
      <c r="K6" s="65" t="str">
        <f>'Data input'!K5</f>
        <v>head</v>
      </c>
      <c r="M6" s="65"/>
      <c r="N6" s="65" t="s">
        <v>32</v>
      </c>
      <c r="O6" s="331">
        <f aca="true" t="shared" si="0" ref="O6:R9">(1.185+(0.00454*D15)-(0.0000026*(D15)^2)+((0.315*D10)))^2</f>
        <v>9.931952249999995</v>
      </c>
      <c r="P6" s="331">
        <f t="shared" si="0"/>
        <v>8.523695845209469</v>
      </c>
      <c r="Q6" s="331">
        <f t="shared" si="0"/>
        <v>5.882744267824851</v>
      </c>
      <c r="R6" s="331">
        <f t="shared" si="0"/>
        <v>7.044940976331362</v>
      </c>
      <c r="S6" s="331">
        <f>(1.185+(0.00454*H15)-(0.0000026*(H15)^2)+((0.315*H10)))^2*S14</f>
        <v>8.768093399973232</v>
      </c>
      <c r="T6" s="331">
        <f aca="true" t="shared" si="1" ref="T6:U9">(1.185+(0.00454*I15)-(0.0000026*(I15)^2)+((0.315*I10)))^2</f>
        <v>5.3897836997775155</v>
      </c>
      <c r="U6" s="331">
        <f t="shared" si="1"/>
        <v>7.619290062960947</v>
      </c>
      <c r="V6" s="65" t="s">
        <v>158</v>
      </c>
      <c r="W6" s="75"/>
    </row>
    <row r="7" spans="2:23" ht="15.75">
      <c r="B7" s="59"/>
      <c r="C7" s="65" t="s">
        <v>34</v>
      </c>
      <c r="D7" s="65">
        <f>'Data input'!D6</f>
        <v>20</v>
      </c>
      <c r="E7" s="65">
        <f>'Data input'!E6</f>
        <v>0</v>
      </c>
      <c r="F7" s="65">
        <f>'Data input'!F6</f>
        <v>375</v>
      </c>
      <c r="G7" s="65">
        <f>'Data input'!G6</f>
        <v>343</v>
      </c>
      <c r="H7" s="65">
        <f>'Data input'!H6</f>
        <v>934.27</v>
      </c>
      <c r="I7" s="65">
        <f>'Data input'!I6</f>
        <v>375</v>
      </c>
      <c r="J7" s="66">
        <f>'Data input'!J6</f>
        <v>354</v>
      </c>
      <c r="K7" s="65" t="str">
        <f>'Data input'!K6</f>
        <v>head</v>
      </c>
      <c r="M7" s="65"/>
      <c r="N7" s="65" t="s">
        <v>33</v>
      </c>
      <c r="O7" s="331">
        <f t="shared" si="0"/>
        <v>9.931952249999995</v>
      </c>
      <c r="P7" s="331">
        <f t="shared" si="0"/>
        <v>8.633236216132543</v>
      </c>
      <c r="Q7" s="331">
        <f t="shared" si="0"/>
        <v>3.3149204792899405</v>
      </c>
      <c r="R7" s="331">
        <f t="shared" si="0"/>
        <v>6.300208123540827</v>
      </c>
      <c r="S7" s="331">
        <f>(1.185+(0.00454*H16)-(0.0000026*(H16)^2)+((0.315*H11)))^2*S15</f>
        <v>8.653497134445727</v>
      </c>
      <c r="T7" s="331">
        <f t="shared" si="1"/>
        <v>3.3149204792899405</v>
      </c>
      <c r="U7" s="331">
        <f t="shared" si="1"/>
        <v>5.6750234378698226</v>
      </c>
      <c r="V7" s="65" t="s">
        <v>158</v>
      </c>
      <c r="W7" s="75"/>
    </row>
    <row r="8" spans="2:23" ht="15.75">
      <c r="B8" s="59"/>
      <c r="C8" s="65" t="s">
        <v>35</v>
      </c>
      <c r="D8" s="65">
        <f>'Data input'!D7</f>
        <v>20</v>
      </c>
      <c r="E8" s="65">
        <f>'Data input'!E7</f>
        <v>0</v>
      </c>
      <c r="F8" s="65">
        <f>'Data input'!F7</f>
        <v>375</v>
      </c>
      <c r="G8" s="65">
        <f>'Data input'!G7</f>
        <v>343</v>
      </c>
      <c r="H8" s="65">
        <f>'Data input'!H7</f>
        <v>776</v>
      </c>
      <c r="I8" s="65">
        <f>'Data input'!I7</f>
        <v>375</v>
      </c>
      <c r="J8" s="66">
        <f>'Data input'!J7</f>
        <v>354</v>
      </c>
      <c r="K8" s="65" t="str">
        <f>'Data input'!K7</f>
        <v>head</v>
      </c>
      <c r="M8" s="65"/>
      <c r="N8" s="65" t="s">
        <v>34</v>
      </c>
      <c r="O8" s="331">
        <f t="shared" si="0"/>
        <v>9.931952249999995</v>
      </c>
      <c r="P8" s="331">
        <f t="shared" si="0"/>
        <v>9.090225</v>
      </c>
      <c r="Q8" s="331">
        <f t="shared" si="0"/>
        <v>5.13148650831006</v>
      </c>
      <c r="R8" s="331">
        <f t="shared" si="0"/>
        <v>6.869124874310059</v>
      </c>
      <c r="S8" s="331">
        <f>(1.185+(0.00454*H17)-(0.0000026*(H17)^2)+((0.315*H12)))^2*S16</f>
        <v>8.205164143094823</v>
      </c>
      <c r="T8" s="331">
        <f t="shared" si="1"/>
        <v>5.13148650831006</v>
      </c>
      <c r="U8" s="331">
        <f t="shared" si="1"/>
        <v>6.909416640532543</v>
      </c>
      <c r="V8" s="65" t="s">
        <v>158</v>
      </c>
      <c r="W8" s="75"/>
    </row>
    <row r="9" spans="2:23" ht="15.75">
      <c r="B9" s="59"/>
      <c r="C9" s="65"/>
      <c r="D9" s="65"/>
      <c r="E9" s="65"/>
      <c r="F9" s="65"/>
      <c r="G9" s="65"/>
      <c r="H9" s="65"/>
      <c r="I9" s="65"/>
      <c r="J9" s="65"/>
      <c r="K9" s="65"/>
      <c r="M9" s="65"/>
      <c r="N9" s="65" t="s">
        <v>35</v>
      </c>
      <c r="O9" s="331">
        <f t="shared" si="0"/>
        <v>9.931952249999995</v>
      </c>
      <c r="P9" s="331">
        <f t="shared" si="0"/>
        <v>7.868025000000001</v>
      </c>
      <c r="Q9" s="331">
        <f t="shared" si="0"/>
        <v>4.973442076310059</v>
      </c>
      <c r="R9" s="331">
        <f t="shared" si="0"/>
        <v>6.780767926239052</v>
      </c>
      <c r="S9" s="331">
        <f>(1.185+(0.00454*H18)-(0.0000026*(H18)^2)+((0.315*H13)))^2*S17</f>
        <v>7.21268493426405</v>
      </c>
      <c r="T9" s="331">
        <f t="shared" si="1"/>
        <v>5.914369578120711</v>
      </c>
      <c r="U9" s="331">
        <f t="shared" si="1"/>
        <v>7.606988313609467</v>
      </c>
      <c r="V9" s="65" t="s">
        <v>158</v>
      </c>
      <c r="W9" s="75"/>
    </row>
    <row r="10" spans="2:23" ht="15.75">
      <c r="B10" s="59" t="s">
        <v>0</v>
      </c>
      <c r="C10" s="65" t="s">
        <v>32</v>
      </c>
      <c r="D10" s="65">
        <f>'Data input'!D16</f>
        <v>0</v>
      </c>
      <c r="E10" s="65">
        <f>'Data input'!E16</f>
        <v>0.8351648351648352</v>
      </c>
      <c r="F10" s="65">
        <f>'Data input'!F16</f>
        <v>0.5494505494505495</v>
      </c>
      <c r="G10" s="65">
        <f>'Data input'!G16</f>
        <v>0.21978021978021978</v>
      </c>
      <c r="H10" s="65">
        <f>'Data input'!H16</f>
        <v>-0.21978021978021978</v>
      </c>
      <c r="I10" s="65">
        <f>'Data input'!I16</f>
        <v>0.21978021978021978</v>
      </c>
      <c r="J10" s="66">
        <f>'Data input'!J16</f>
        <v>0.32967032967032966</v>
      </c>
      <c r="K10" s="65" t="str">
        <f>'Data input'!K16</f>
        <v>kg/day</v>
      </c>
      <c r="M10" s="65"/>
      <c r="N10" s="65"/>
      <c r="O10" s="65"/>
      <c r="P10" s="65"/>
      <c r="Q10" s="65"/>
      <c r="R10" s="65"/>
      <c r="S10" s="65"/>
      <c r="T10" s="65"/>
      <c r="U10" s="65"/>
      <c r="V10" s="65"/>
      <c r="W10" s="75"/>
    </row>
    <row r="11" spans="2:23" ht="15.75">
      <c r="B11" s="59"/>
      <c r="C11" s="65" t="s">
        <v>33</v>
      </c>
      <c r="D11" s="65">
        <f>'Data input'!D17</f>
        <v>0</v>
      </c>
      <c r="E11" s="65">
        <f>'Data input'!E17</f>
        <v>0.5494505494505495</v>
      </c>
      <c r="F11" s="65">
        <f>'Data input'!F17</f>
        <v>0.6593406593406593</v>
      </c>
      <c r="G11" s="65">
        <f>'Data input'!G17</f>
        <v>0.43956043956043955</v>
      </c>
      <c r="H11" s="65">
        <f>'Data input'!H17</f>
        <v>0.21978021978021978</v>
      </c>
      <c r="I11" s="65">
        <f>'Data input'!I17</f>
        <v>0.6593406593406593</v>
      </c>
      <c r="J11" s="66">
        <f>'Data input'!J17</f>
        <v>0.21978021978021978</v>
      </c>
      <c r="K11" s="65" t="str">
        <f>'Data input'!K17</f>
        <v>kg/day</v>
      </c>
      <c r="M11" s="59" t="s">
        <v>159</v>
      </c>
      <c r="N11" s="65"/>
      <c r="O11" s="59" t="s">
        <v>114</v>
      </c>
      <c r="P11" s="65"/>
      <c r="Q11" s="65"/>
      <c r="R11" s="65"/>
      <c r="S11" s="65"/>
      <c r="T11" s="65"/>
      <c r="U11" s="65"/>
      <c r="V11" s="65" t="s">
        <v>158</v>
      </c>
      <c r="W11" s="75" t="s">
        <v>160</v>
      </c>
    </row>
    <row r="12" spans="2:23" ht="15.75">
      <c r="B12" s="59"/>
      <c r="C12" s="65" t="s">
        <v>34</v>
      </c>
      <c r="D12" s="65">
        <f>'Data input'!D18</f>
        <v>0</v>
      </c>
      <c r="E12" s="65">
        <f>'Data input'!E18</f>
        <v>0.6666666666666666</v>
      </c>
      <c r="F12" s="65">
        <f>'Data input'!F18</f>
        <v>0.989010989010989</v>
      </c>
      <c r="G12" s="65">
        <f>'Data input'!G18</f>
        <v>0.43956043956043955</v>
      </c>
      <c r="H12" s="65">
        <f>'Data input'!H18</f>
        <v>0.21978021978021978</v>
      </c>
      <c r="I12" s="65">
        <f>'Data input'!I18</f>
        <v>0.989010989010989</v>
      </c>
      <c r="J12" s="66">
        <f>'Data input'!J18</f>
        <v>0.5494505494505495</v>
      </c>
      <c r="K12" s="65" t="str">
        <f>'Data input'!K18</f>
        <v>kg/day</v>
      </c>
      <c r="M12" s="65"/>
      <c r="N12" s="65"/>
      <c r="O12" s="65" t="s">
        <v>161</v>
      </c>
      <c r="P12" s="65"/>
      <c r="Q12" s="65"/>
      <c r="R12" s="65"/>
      <c r="S12" s="65"/>
      <c r="T12" s="65"/>
      <c r="U12" s="65"/>
      <c r="V12" s="65"/>
      <c r="W12" s="75"/>
    </row>
    <row r="13" spans="2:23" ht="15.75">
      <c r="B13" s="59"/>
      <c r="C13" s="65" t="s">
        <v>35</v>
      </c>
      <c r="D13" s="65">
        <f>'Data input'!D19</f>
        <v>0</v>
      </c>
      <c r="E13" s="65">
        <f>'Data input'!E19</f>
        <v>0</v>
      </c>
      <c r="F13" s="65">
        <f>'Data input'!F19</f>
        <v>0.43956043956043955</v>
      </c>
      <c r="G13" s="65">
        <f>'Data input'!G19</f>
        <v>0.21978021978021978</v>
      </c>
      <c r="H13" s="65">
        <f>'Data input'!H19</f>
        <v>-0.21978021978021978</v>
      </c>
      <c r="I13" s="65">
        <f>'Data input'!I19</f>
        <v>0.7692307692307693</v>
      </c>
      <c r="J13" s="66">
        <f>'Data input'!J19</f>
        <v>0.5494505494505495</v>
      </c>
      <c r="K13" s="65" t="str">
        <f>'Data input'!K19</f>
        <v>kg/day</v>
      </c>
      <c r="M13" s="65"/>
      <c r="N13" s="65"/>
      <c r="O13" s="65" t="s">
        <v>162</v>
      </c>
      <c r="P13" s="65"/>
      <c r="Q13" s="65"/>
      <c r="R13" s="65"/>
      <c r="S13" s="65"/>
      <c r="T13" s="65"/>
      <c r="U13" s="65"/>
      <c r="V13" s="65"/>
      <c r="W13" s="75" t="s">
        <v>163</v>
      </c>
    </row>
    <row r="14" spans="2:23" ht="15.75">
      <c r="B14" s="59"/>
      <c r="C14" s="65"/>
      <c r="D14" s="65"/>
      <c r="E14" s="65"/>
      <c r="F14" s="65"/>
      <c r="G14" s="65"/>
      <c r="H14" s="65"/>
      <c r="I14" s="65"/>
      <c r="J14" s="66"/>
      <c r="K14" s="65"/>
      <c r="M14" s="65"/>
      <c r="N14" s="65" t="s">
        <v>32</v>
      </c>
      <c r="O14" s="65"/>
      <c r="P14" s="65"/>
      <c r="Q14" s="65"/>
      <c r="R14" s="65"/>
      <c r="S14" s="72">
        <f>(H25*H30)+((1-H25)*1)</f>
        <v>1.255</v>
      </c>
      <c r="T14" s="65"/>
      <c r="U14" s="65"/>
      <c r="V14" s="65"/>
      <c r="W14" s="75"/>
    </row>
    <row r="15" spans="2:23" ht="15.75">
      <c r="B15" s="59" t="s">
        <v>155</v>
      </c>
      <c r="C15" s="65" t="s">
        <v>32</v>
      </c>
      <c r="D15" s="65">
        <f>'Data input'!D10</f>
        <v>950</v>
      </c>
      <c r="E15" s="65">
        <f>'Data input'!E10</f>
        <v>430</v>
      </c>
      <c r="F15" s="65">
        <f>'Data input'!F10</f>
        <v>280</v>
      </c>
      <c r="G15" s="65">
        <f>'Data input'!G10</f>
        <v>400</v>
      </c>
      <c r="H15" s="65">
        <f>'Data input'!H10</f>
        <v>455</v>
      </c>
      <c r="I15" s="65">
        <f>'Data input'!I10</f>
        <v>280</v>
      </c>
      <c r="J15" s="66">
        <f>'Data input'!J10</f>
        <v>430</v>
      </c>
      <c r="K15" s="65" t="str">
        <f>'Data input'!K10</f>
        <v>kg/head</v>
      </c>
      <c r="M15" s="65"/>
      <c r="N15" s="65" t="s">
        <v>33</v>
      </c>
      <c r="O15" s="65"/>
      <c r="P15" s="65"/>
      <c r="Q15" s="65"/>
      <c r="R15" s="65"/>
      <c r="S15" s="72">
        <f>(H26*H31)+((1-H26)*1)</f>
        <v>1.085</v>
      </c>
      <c r="T15" s="65"/>
      <c r="U15" s="65"/>
      <c r="V15" s="65"/>
      <c r="W15" s="75"/>
    </row>
    <row r="16" spans="2:23" ht="15.75">
      <c r="B16" s="59"/>
      <c r="C16" s="65" t="s">
        <v>33</v>
      </c>
      <c r="D16" s="65">
        <f>'Data input'!D11</f>
        <v>950</v>
      </c>
      <c r="E16" s="65">
        <f>'Data input'!E11</f>
        <v>480</v>
      </c>
      <c r="F16" s="65">
        <f>'Data input'!F11</f>
        <v>100</v>
      </c>
      <c r="G16" s="65">
        <f>'Data input'!G11</f>
        <v>320</v>
      </c>
      <c r="H16" s="65">
        <f>'Data input'!H11</f>
        <v>475</v>
      </c>
      <c r="I16" s="65">
        <f>'Data input'!I11</f>
        <v>100</v>
      </c>
      <c r="J16" s="66">
        <f>'Data input'!J11</f>
        <v>300</v>
      </c>
      <c r="K16" s="65" t="str">
        <f>'Data input'!K11</f>
        <v>kg/head</v>
      </c>
      <c r="M16" s="65"/>
      <c r="N16" s="65" t="s">
        <v>34</v>
      </c>
      <c r="O16" s="65"/>
      <c r="P16" s="65"/>
      <c r="Q16" s="65"/>
      <c r="R16" s="65"/>
      <c r="S16" s="72">
        <f>(H27*H32)+((1-H27)*1)</f>
        <v>1</v>
      </c>
      <c r="T16" s="65"/>
      <c r="U16" s="65"/>
      <c r="V16" s="65"/>
      <c r="W16" s="75"/>
    </row>
    <row r="17" spans="2:23" ht="15.75">
      <c r="B17" s="59"/>
      <c r="C17" s="65" t="s">
        <v>34</v>
      </c>
      <c r="D17" s="65">
        <f>'Data input'!D12</f>
        <v>950</v>
      </c>
      <c r="E17" s="65">
        <f>'Data input'!E12</f>
        <v>500</v>
      </c>
      <c r="F17" s="65">
        <f>'Data input'!F12</f>
        <v>190</v>
      </c>
      <c r="G17" s="65">
        <f>'Data input'!G12</f>
        <v>360</v>
      </c>
      <c r="H17" s="65">
        <f>'Data input'!H12</f>
        <v>495</v>
      </c>
      <c r="I17" s="65">
        <f>'Data input'!I12</f>
        <v>190</v>
      </c>
      <c r="J17" s="66">
        <f>'Data input'!J12</f>
        <v>350</v>
      </c>
      <c r="K17" s="65" t="str">
        <f>'Data input'!K12</f>
        <v>kg/head</v>
      </c>
      <c r="M17" s="65"/>
      <c r="N17" s="65" t="s">
        <v>35</v>
      </c>
      <c r="O17" s="65"/>
      <c r="P17" s="65"/>
      <c r="Q17" s="65"/>
      <c r="R17" s="65"/>
      <c r="S17" s="72">
        <f>(H28*H33)+((1-H28)*1)</f>
        <v>1</v>
      </c>
      <c r="T17" s="65"/>
      <c r="U17" s="65"/>
      <c r="V17" s="65"/>
      <c r="W17" s="75"/>
    </row>
    <row r="18" spans="2:23" ht="15.75">
      <c r="B18" s="59"/>
      <c r="C18" s="65" t="s">
        <v>35</v>
      </c>
      <c r="D18" s="65">
        <f>'Data input'!D13</f>
        <v>950</v>
      </c>
      <c r="E18" s="65">
        <f>'Data input'!E13</f>
        <v>500</v>
      </c>
      <c r="F18" s="65">
        <f>'Data input'!F13</f>
        <v>230</v>
      </c>
      <c r="G18" s="65">
        <f>'Data input'!G13</f>
        <v>380</v>
      </c>
      <c r="H18" s="65">
        <f>'Data input'!H13</f>
        <v>475</v>
      </c>
      <c r="I18" s="65">
        <f>'Data input'!I13</f>
        <v>260</v>
      </c>
      <c r="J18" s="66">
        <f>'Data input'!J13</f>
        <v>400</v>
      </c>
      <c r="K18" s="65" t="str">
        <f>'Data input'!K13</f>
        <v>kg/head</v>
      </c>
      <c r="M18" s="65"/>
      <c r="N18" s="65"/>
      <c r="O18" s="65"/>
      <c r="P18" s="65"/>
      <c r="Q18" s="65"/>
      <c r="R18" s="65"/>
      <c r="S18" s="65"/>
      <c r="T18" s="65"/>
      <c r="U18" s="65"/>
      <c r="V18" s="65"/>
      <c r="W18" s="76"/>
    </row>
    <row r="19" spans="2:23" ht="15.75">
      <c r="B19" s="59"/>
      <c r="C19" s="65"/>
      <c r="D19" s="65"/>
      <c r="E19" s="65"/>
      <c r="F19" s="65"/>
      <c r="G19" s="65"/>
      <c r="H19" s="65"/>
      <c r="I19" s="65"/>
      <c r="J19" s="66"/>
      <c r="K19" s="65"/>
      <c r="M19" s="59" t="s">
        <v>166</v>
      </c>
      <c r="N19" s="65"/>
      <c r="O19" s="59" t="s">
        <v>115</v>
      </c>
      <c r="P19" s="65"/>
      <c r="Q19" s="65"/>
      <c r="R19" s="65"/>
      <c r="S19" s="65"/>
      <c r="T19" s="65"/>
      <c r="U19" s="65"/>
      <c r="V19" s="65"/>
      <c r="W19" s="75" t="s">
        <v>167</v>
      </c>
    </row>
    <row r="20" spans="2:23" ht="15.75">
      <c r="B20" s="59" t="s">
        <v>419</v>
      </c>
      <c r="C20" s="65" t="s">
        <v>32</v>
      </c>
      <c r="D20" s="65">
        <f>'Data input'!D28</f>
        <v>48</v>
      </c>
      <c r="E20" s="65">
        <f>'Data input'!E28</f>
        <v>48</v>
      </c>
      <c r="F20" s="65">
        <f>'Data input'!F28</f>
        <v>48</v>
      </c>
      <c r="G20" s="65">
        <f>'Data input'!G28</f>
        <v>48</v>
      </c>
      <c r="H20" s="65">
        <f>'Data input'!H28</f>
        <v>48</v>
      </c>
      <c r="I20" s="65">
        <f>'Data input'!I28</f>
        <v>48</v>
      </c>
      <c r="J20" s="66">
        <f>'Data input'!J28</f>
        <v>48</v>
      </c>
      <c r="K20" s="65" t="str">
        <f>'Data input'!K28</f>
        <v>%</v>
      </c>
      <c r="M20" s="65"/>
      <c r="N20" s="65" t="s">
        <v>32</v>
      </c>
      <c r="O20" s="72">
        <f aca="true" t="shared" si="2" ref="O20:U23">(O6*18.4)</f>
        <v>182.74792139999988</v>
      </c>
      <c r="P20" s="72">
        <f t="shared" si="2"/>
        <v>156.83600355185422</v>
      </c>
      <c r="Q20" s="72">
        <f t="shared" si="2"/>
        <v>108.24249452797724</v>
      </c>
      <c r="R20" s="72">
        <f t="shared" si="2"/>
        <v>129.62691396449705</v>
      </c>
      <c r="S20" s="72">
        <f t="shared" si="2"/>
        <v>161.33291855950745</v>
      </c>
      <c r="T20" s="72">
        <f t="shared" si="2"/>
        <v>99.17202007590627</v>
      </c>
      <c r="U20" s="72">
        <f t="shared" si="2"/>
        <v>140.19493715848142</v>
      </c>
      <c r="V20" s="65" t="s">
        <v>116</v>
      </c>
      <c r="W20" s="75"/>
    </row>
    <row r="21" spans="2:23" ht="15.75">
      <c r="B21" s="59"/>
      <c r="C21" s="65" t="s">
        <v>33</v>
      </c>
      <c r="D21" s="65">
        <f>'Data input'!D29</f>
        <v>56</v>
      </c>
      <c r="E21" s="65">
        <f>'Data input'!E29</f>
        <v>56</v>
      </c>
      <c r="F21" s="65">
        <f>'Data input'!F29</f>
        <v>56</v>
      </c>
      <c r="G21" s="65">
        <f>'Data input'!G29</f>
        <v>56</v>
      </c>
      <c r="H21" s="65">
        <f>'Data input'!H29</f>
        <v>56</v>
      </c>
      <c r="I21" s="65">
        <f>'Data input'!I29</f>
        <v>56</v>
      </c>
      <c r="J21" s="66">
        <f>'Data input'!J29</f>
        <v>56</v>
      </c>
      <c r="K21" s="65" t="str">
        <f>'Data input'!K29</f>
        <v>%</v>
      </c>
      <c r="M21" s="65"/>
      <c r="N21" s="65" t="s">
        <v>33</v>
      </c>
      <c r="O21" s="72">
        <f t="shared" si="2"/>
        <v>182.74792139999988</v>
      </c>
      <c r="P21" s="72">
        <f t="shared" si="2"/>
        <v>158.85154637683877</v>
      </c>
      <c r="Q21" s="72">
        <f t="shared" si="2"/>
        <v>60.9945368189349</v>
      </c>
      <c r="R21" s="72">
        <f t="shared" si="2"/>
        <v>115.9238294731512</v>
      </c>
      <c r="S21" s="72">
        <f t="shared" si="2"/>
        <v>159.22434727380136</v>
      </c>
      <c r="T21" s="72">
        <f t="shared" si="2"/>
        <v>60.9945368189349</v>
      </c>
      <c r="U21" s="72">
        <f t="shared" si="2"/>
        <v>104.42043125680473</v>
      </c>
      <c r="V21" s="65" t="s">
        <v>116</v>
      </c>
      <c r="W21" s="75"/>
    </row>
    <row r="22" spans="2:23" ht="15.75">
      <c r="B22" s="59"/>
      <c r="C22" s="65" t="s">
        <v>34</v>
      </c>
      <c r="D22" s="65">
        <f>'Data input'!D30</f>
        <v>53</v>
      </c>
      <c r="E22" s="65">
        <f>'Data input'!E30</f>
        <v>53</v>
      </c>
      <c r="F22" s="65">
        <f>'Data input'!F30</f>
        <v>53</v>
      </c>
      <c r="G22" s="65">
        <f>'Data input'!G30</f>
        <v>53</v>
      </c>
      <c r="H22" s="65">
        <f>'Data input'!H30</f>
        <v>53</v>
      </c>
      <c r="I22" s="65">
        <f>'Data input'!I30</f>
        <v>53</v>
      </c>
      <c r="J22" s="66">
        <f>'Data input'!J30</f>
        <v>53</v>
      </c>
      <c r="K22" s="65" t="str">
        <f>'Data input'!K30</f>
        <v>%</v>
      </c>
      <c r="M22" s="65"/>
      <c r="N22" s="65" t="s">
        <v>34</v>
      </c>
      <c r="O22" s="72">
        <f t="shared" si="2"/>
        <v>182.74792139999988</v>
      </c>
      <c r="P22" s="72">
        <f t="shared" si="2"/>
        <v>167.26013999999998</v>
      </c>
      <c r="Q22" s="72">
        <f t="shared" si="2"/>
        <v>94.41935175290509</v>
      </c>
      <c r="R22" s="72">
        <f t="shared" si="2"/>
        <v>126.39189768730508</v>
      </c>
      <c r="S22" s="72">
        <f t="shared" si="2"/>
        <v>150.97502023294473</v>
      </c>
      <c r="T22" s="72">
        <f t="shared" si="2"/>
        <v>94.41935175290509</v>
      </c>
      <c r="U22" s="72">
        <f t="shared" si="2"/>
        <v>127.13326618579877</v>
      </c>
      <c r="V22" s="65" t="s">
        <v>116</v>
      </c>
      <c r="W22" s="75"/>
    </row>
    <row r="23" spans="2:23" ht="15.75">
      <c r="B23" s="59"/>
      <c r="C23" s="65" t="s">
        <v>35</v>
      </c>
      <c r="D23" s="65">
        <f>'Data input'!D31</f>
        <v>51</v>
      </c>
      <c r="E23" s="65">
        <f>'Data input'!E31</f>
        <v>51</v>
      </c>
      <c r="F23" s="65">
        <f>'Data input'!F31</f>
        <v>51</v>
      </c>
      <c r="G23" s="65">
        <f>'Data input'!G31</f>
        <v>51</v>
      </c>
      <c r="H23" s="65">
        <f>'Data input'!H31</f>
        <v>51</v>
      </c>
      <c r="I23" s="65">
        <f>'Data input'!I31</f>
        <v>51</v>
      </c>
      <c r="J23" s="66">
        <f>'Data input'!J31</f>
        <v>51</v>
      </c>
      <c r="K23" s="65" t="str">
        <f>'Data input'!K31</f>
        <v>%</v>
      </c>
      <c r="M23" s="65"/>
      <c r="N23" s="65" t="s">
        <v>35</v>
      </c>
      <c r="O23" s="72">
        <f t="shared" si="2"/>
        <v>182.74792139999988</v>
      </c>
      <c r="P23" s="72">
        <f t="shared" si="2"/>
        <v>144.77166</v>
      </c>
      <c r="Q23" s="72">
        <f t="shared" si="2"/>
        <v>91.51133420410508</v>
      </c>
      <c r="R23" s="72">
        <f t="shared" si="2"/>
        <v>124.76612984279853</v>
      </c>
      <c r="S23" s="72">
        <f t="shared" si="2"/>
        <v>132.71340279045853</v>
      </c>
      <c r="T23" s="72">
        <f t="shared" si="2"/>
        <v>108.82440023742107</v>
      </c>
      <c r="U23" s="72">
        <f t="shared" si="2"/>
        <v>139.96858497041418</v>
      </c>
      <c r="V23" s="65" t="s">
        <v>116</v>
      </c>
      <c r="W23" s="75"/>
    </row>
    <row r="24" spans="2:23" ht="15.75">
      <c r="B24" s="59"/>
      <c r="C24" s="65"/>
      <c r="D24" s="65"/>
      <c r="E24" s="65"/>
      <c r="F24" s="65"/>
      <c r="G24" s="65"/>
      <c r="H24" s="65"/>
      <c r="I24" s="65"/>
      <c r="J24" s="66"/>
      <c r="K24" s="65"/>
      <c r="M24" s="65"/>
      <c r="N24" s="65"/>
      <c r="O24" s="65"/>
      <c r="P24" s="65"/>
      <c r="Q24" s="65"/>
      <c r="R24" s="65"/>
      <c r="S24" s="65"/>
      <c r="T24" s="65"/>
      <c r="U24" s="65"/>
      <c r="V24" s="65"/>
      <c r="W24" s="76"/>
    </row>
    <row r="25" spans="2:23" ht="15.75">
      <c r="B25" s="59" t="s">
        <v>164</v>
      </c>
      <c r="C25" s="65" t="s">
        <v>32</v>
      </c>
      <c r="D25" s="65"/>
      <c r="E25" s="65"/>
      <c r="F25" s="65"/>
      <c r="G25" s="65"/>
      <c r="H25" s="65">
        <f>'Data input'!H54</f>
        <v>0.85</v>
      </c>
      <c r="I25" s="65"/>
      <c r="J25" s="66"/>
      <c r="K25" s="65"/>
      <c r="M25" s="59" t="s">
        <v>168</v>
      </c>
      <c r="N25" s="65"/>
      <c r="O25" s="59" t="s">
        <v>170</v>
      </c>
      <c r="P25" s="65"/>
      <c r="Q25" s="65"/>
      <c r="R25" s="65"/>
      <c r="S25" s="65"/>
      <c r="T25" s="65"/>
      <c r="U25" s="65"/>
      <c r="V25" s="65"/>
      <c r="W25" s="75" t="s">
        <v>169</v>
      </c>
    </row>
    <row r="26" spans="2:23" ht="15.75">
      <c r="B26" s="59"/>
      <c r="C26" s="65" t="s">
        <v>33</v>
      </c>
      <c r="D26" s="65"/>
      <c r="E26" s="65"/>
      <c r="F26" s="65"/>
      <c r="G26" s="65"/>
      <c r="H26" s="65">
        <f>'Data input'!H55</f>
        <v>0.85</v>
      </c>
      <c r="I26" s="65"/>
      <c r="J26" s="66"/>
      <c r="K26" s="65"/>
      <c r="M26" s="65"/>
      <c r="N26" s="65" t="s">
        <v>32</v>
      </c>
      <c r="O26" s="73">
        <f>O6/(1.185+(0.00454*D15)-(0.0000026*(D15)^2)+((0.315*0)))^2</f>
        <v>1</v>
      </c>
      <c r="P26" s="73">
        <f aca="true" t="shared" si="3" ref="P26:U26">P6/(1.185+(0.00454*E15)-(0.0000026*(E15)^2)+((0.315*0)))^2</f>
        <v>1.2078733033200217</v>
      </c>
      <c r="Q26" s="73">
        <f t="shared" si="3"/>
        <v>1.1595897217834266</v>
      </c>
      <c r="R26" s="73">
        <f t="shared" si="3"/>
        <v>1.054280718822153</v>
      </c>
      <c r="S26" s="73">
        <f t="shared" si="3"/>
        <v>1.1917536426176882</v>
      </c>
      <c r="T26" s="73">
        <f t="shared" si="3"/>
        <v>1.0624187447823183</v>
      </c>
      <c r="U26" s="73">
        <f t="shared" si="3"/>
        <v>1.0797120432769138</v>
      </c>
      <c r="V26" s="65" t="s">
        <v>158</v>
      </c>
      <c r="W26" s="75"/>
    </row>
    <row r="27" spans="2:23" ht="15.75">
      <c r="B27" s="59"/>
      <c r="C27" s="65" t="s">
        <v>34</v>
      </c>
      <c r="D27" s="65"/>
      <c r="E27" s="65"/>
      <c r="F27" s="65"/>
      <c r="G27" s="65"/>
      <c r="H27" s="65">
        <f>'Data input'!H56</f>
        <v>0</v>
      </c>
      <c r="I27" s="65"/>
      <c r="J27" s="66"/>
      <c r="K27" s="65"/>
      <c r="M27" s="65"/>
      <c r="N27" s="65" t="s">
        <v>33</v>
      </c>
      <c r="O27" s="73">
        <f>O7/(1.185+(0.00454*D16)-(0.0000026*(D16)^2)+((0.315*0)))^2</f>
        <v>1</v>
      </c>
      <c r="P27" s="73">
        <f aca="true" t="shared" si="4" ref="P27:U29">P7/(1.185+(0.00454*E16)-(0.0000026*(E16)^2)+((0.315*0)))^2</f>
        <v>1.1291017802579213</v>
      </c>
      <c r="Q27" s="73">
        <f t="shared" si="4"/>
        <v>1.2741025353480422</v>
      </c>
      <c r="R27" s="73">
        <f t="shared" si="4"/>
        <v>1.120177030113859</v>
      </c>
      <c r="S27" s="73">
        <f t="shared" si="4"/>
        <v>1.1402179099166707</v>
      </c>
      <c r="T27" s="73">
        <f t="shared" si="4"/>
        <v>1.2741025353480422</v>
      </c>
      <c r="U27" s="73">
        <f t="shared" si="4"/>
        <v>1.0607581909109798</v>
      </c>
      <c r="V27" s="65" t="s">
        <v>158</v>
      </c>
      <c r="W27" s="75"/>
    </row>
    <row r="28" spans="2:23" ht="15.75">
      <c r="B28" s="59"/>
      <c r="C28" s="65" t="s">
        <v>35</v>
      </c>
      <c r="D28" s="65"/>
      <c r="E28" s="65"/>
      <c r="F28" s="65"/>
      <c r="G28" s="65"/>
      <c r="H28" s="65">
        <f>'Data input'!H57</f>
        <v>0</v>
      </c>
      <c r="I28" s="65"/>
      <c r="J28" s="66"/>
      <c r="K28" s="65"/>
      <c r="M28" s="65"/>
      <c r="N28" s="65" t="s">
        <v>34</v>
      </c>
      <c r="O28" s="73">
        <f>O8/(1.185+(0.00454*D17)-(0.0000026*(D17)^2)+((0.315*0)))^2</f>
        <v>1</v>
      </c>
      <c r="P28" s="73">
        <f t="shared" si="4"/>
        <v>1.1553375847178928</v>
      </c>
      <c r="Q28" s="73">
        <f t="shared" si="4"/>
        <v>1.3443416533441346</v>
      </c>
      <c r="R28" s="73">
        <f t="shared" si="4"/>
        <v>1.1146637830190154</v>
      </c>
      <c r="S28" s="73">
        <f t="shared" si="4"/>
        <v>1.0501482724162206</v>
      </c>
      <c r="T28" s="73">
        <f t="shared" si="4"/>
        <v>1.3443416533441346</v>
      </c>
      <c r="U28" s="73">
        <f t="shared" si="4"/>
        <v>1.145939011995693</v>
      </c>
      <c r="V28" s="65" t="s">
        <v>158</v>
      </c>
      <c r="W28" s="75"/>
    </row>
    <row r="29" spans="2:23" ht="15.75">
      <c r="B29" s="59"/>
      <c r="C29" s="65"/>
      <c r="D29" s="65"/>
      <c r="E29" s="65"/>
      <c r="F29" s="65"/>
      <c r="G29" s="65"/>
      <c r="H29" s="65"/>
      <c r="I29" s="65"/>
      <c r="J29" s="66"/>
      <c r="K29" s="65"/>
      <c r="M29" s="65"/>
      <c r="N29" s="65" t="s">
        <v>35</v>
      </c>
      <c r="O29" s="73">
        <f>O9/(1.185+(0.00454*D18)-(0.0000026*(D18)^2)+((0.315*0)))^2</f>
        <v>1</v>
      </c>
      <c r="P29" s="73">
        <f t="shared" si="4"/>
        <v>1</v>
      </c>
      <c r="Q29" s="73">
        <f t="shared" si="4"/>
        <v>1.1367759627206542</v>
      </c>
      <c r="R29" s="73">
        <f t="shared" si="4"/>
        <v>1.055371083487439</v>
      </c>
      <c r="S29" s="73">
        <f t="shared" si="4"/>
        <v>0.9503709786761003</v>
      </c>
      <c r="T29" s="73">
        <f t="shared" si="4"/>
        <v>1.2335677963244234</v>
      </c>
      <c r="U29" s="73">
        <f t="shared" si="4"/>
        <v>1.1383915258180421</v>
      </c>
      <c r="V29" s="65" t="s">
        <v>158</v>
      </c>
      <c r="W29" s="75"/>
    </row>
    <row r="30" spans="2:23" ht="15.75">
      <c r="B30" s="59" t="s">
        <v>165</v>
      </c>
      <c r="C30" s="65" t="s">
        <v>32</v>
      </c>
      <c r="D30" s="65"/>
      <c r="E30" s="65"/>
      <c r="F30" s="65"/>
      <c r="G30" s="65"/>
      <c r="H30" s="71">
        <f>'Data input'!I54</f>
        <v>1.3</v>
      </c>
      <c r="I30" s="65"/>
      <c r="J30" s="66"/>
      <c r="K30" s="65"/>
      <c r="M30" s="65"/>
      <c r="N30" s="65"/>
      <c r="O30" s="65"/>
      <c r="P30" s="65"/>
      <c r="Q30" s="65"/>
      <c r="R30" s="65"/>
      <c r="S30" s="65"/>
      <c r="T30" s="65"/>
      <c r="U30" s="65"/>
      <c r="V30" s="65"/>
      <c r="W30" s="75"/>
    </row>
    <row r="31" spans="2:23" ht="15.75">
      <c r="B31" s="59"/>
      <c r="C31" s="65" t="s">
        <v>33</v>
      </c>
      <c r="D31" s="65"/>
      <c r="E31" s="65"/>
      <c r="F31" s="65"/>
      <c r="G31" s="65"/>
      <c r="H31" s="71">
        <f>'Data input'!I55</f>
        <v>1.1</v>
      </c>
      <c r="I31" s="65"/>
      <c r="J31" s="66"/>
      <c r="K31" s="65"/>
      <c r="M31" s="59" t="s">
        <v>117</v>
      </c>
      <c r="N31" s="65"/>
      <c r="O31" s="59" t="s">
        <v>172</v>
      </c>
      <c r="P31" s="65"/>
      <c r="Q31" s="65"/>
      <c r="R31" s="65"/>
      <c r="S31" s="65"/>
      <c r="T31" s="65"/>
      <c r="U31" s="65"/>
      <c r="V31" s="65"/>
      <c r="W31" s="75" t="s">
        <v>171</v>
      </c>
    </row>
    <row r="32" spans="2:23" ht="15.75">
      <c r="B32" s="59"/>
      <c r="C32" s="65" t="s">
        <v>34</v>
      </c>
      <c r="D32" s="65"/>
      <c r="E32" s="65"/>
      <c r="F32" s="65"/>
      <c r="G32" s="65"/>
      <c r="H32" s="71">
        <f>'Data input'!I56</f>
        <v>0</v>
      </c>
      <c r="I32" s="65"/>
      <c r="J32" s="66"/>
      <c r="K32" s="65"/>
      <c r="M32" s="65"/>
      <c r="N32" s="65" t="s">
        <v>32</v>
      </c>
      <c r="O32" s="331">
        <f>1.3+(0.112*D20)+O26*(2.37-(0.05*D20))</f>
        <v>6.646</v>
      </c>
      <c r="P32" s="331">
        <f aca="true" t="shared" si="5" ref="P32:U32">1.3+(0.112*E20)+P26*(2.37-(0.05*E20))</f>
        <v>6.6397638009004</v>
      </c>
      <c r="Q32" s="331">
        <f t="shared" si="5"/>
        <v>6.641212308346497</v>
      </c>
      <c r="R32" s="331">
        <f t="shared" si="5"/>
        <v>6.644371578435336</v>
      </c>
      <c r="S32" s="331">
        <f t="shared" si="5"/>
        <v>6.640247390721469</v>
      </c>
      <c r="T32" s="331">
        <f t="shared" si="5"/>
        <v>6.644127437656531</v>
      </c>
      <c r="U32" s="331">
        <f t="shared" si="5"/>
        <v>6.643608638701693</v>
      </c>
      <c r="V32" s="65" t="s">
        <v>88</v>
      </c>
      <c r="W32" s="75"/>
    </row>
    <row r="33" spans="2:23" ht="15.75">
      <c r="B33" s="67"/>
      <c r="C33" s="68" t="s">
        <v>35</v>
      </c>
      <c r="D33" s="68"/>
      <c r="E33" s="68"/>
      <c r="F33" s="68"/>
      <c r="G33" s="68"/>
      <c r="H33" s="319">
        <f>'Data input'!I57</f>
        <v>0</v>
      </c>
      <c r="I33" s="68"/>
      <c r="J33" s="69"/>
      <c r="K33" s="68"/>
      <c r="M33" s="65"/>
      <c r="N33" s="65" t="s">
        <v>33</v>
      </c>
      <c r="O33" s="331">
        <f>1.3+(0.112*D21)+O27*(2.37-(0.05*D21))</f>
        <v>7.1419999999999995</v>
      </c>
      <c r="P33" s="331">
        <f aca="true" t="shared" si="6" ref="P33:U35">1.3+(0.112*E21)+P27*(2.37-(0.05*E21))</f>
        <v>7.086486234489094</v>
      </c>
      <c r="Q33" s="331">
        <f t="shared" si="6"/>
        <v>7.024135909800342</v>
      </c>
      <c r="R33" s="331">
        <f t="shared" si="6"/>
        <v>7.09032387705104</v>
      </c>
      <c r="S33" s="331">
        <f t="shared" si="6"/>
        <v>7.081706298735831</v>
      </c>
      <c r="T33" s="331">
        <f t="shared" si="6"/>
        <v>7.024135909800342</v>
      </c>
      <c r="U33" s="331">
        <f t="shared" si="6"/>
        <v>7.1158739779082785</v>
      </c>
      <c r="V33" s="65" t="s">
        <v>88</v>
      </c>
      <c r="W33" s="75"/>
    </row>
    <row r="34" spans="2:23" ht="15.75">
      <c r="B34" s="48"/>
      <c r="J34" s="56"/>
      <c r="M34" s="65"/>
      <c r="N34" s="65" t="s">
        <v>34</v>
      </c>
      <c r="O34" s="331">
        <f>1.3+(0.112*D22)+O28*(2.37-(0.05*D22))</f>
        <v>6.9559999999999995</v>
      </c>
      <c r="P34" s="331">
        <f t="shared" si="6"/>
        <v>6.912505476278989</v>
      </c>
      <c r="Q34" s="331">
        <f t="shared" si="6"/>
        <v>6.859584337063642</v>
      </c>
      <c r="R34" s="331">
        <f t="shared" si="6"/>
        <v>6.923894140754675</v>
      </c>
      <c r="S34" s="331">
        <f t="shared" si="6"/>
        <v>6.941958483723457</v>
      </c>
      <c r="T34" s="331">
        <f t="shared" si="6"/>
        <v>6.859584337063642</v>
      </c>
      <c r="U34" s="331">
        <f t="shared" si="6"/>
        <v>6.915137076641205</v>
      </c>
      <c r="V34" s="65" t="s">
        <v>88</v>
      </c>
      <c r="W34" s="75"/>
    </row>
    <row r="35" spans="2:23" ht="15.75">
      <c r="B35" s="48"/>
      <c r="J35" s="56"/>
      <c r="M35" s="65"/>
      <c r="N35" s="65" t="s">
        <v>35</v>
      </c>
      <c r="O35" s="331">
        <f>1.3+(0.112*D23)+O29*(2.37-(0.05*D23))</f>
        <v>6.831999999999999</v>
      </c>
      <c r="P35" s="331">
        <f t="shared" si="6"/>
        <v>6.831999999999999</v>
      </c>
      <c r="Q35" s="331">
        <f t="shared" si="6"/>
        <v>6.807380326710281</v>
      </c>
      <c r="R35" s="331">
        <f t="shared" si="6"/>
        <v>6.822033204972261</v>
      </c>
      <c r="S35" s="331">
        <f t="shared" si="6"/>
        <v>6.840933223838301</v>
      </c>
      <c r="T35" s="331">
        <f t="shared" si="6"/>
        <v>6.789957796661604</v>
      </c>
      <c r="U35" s="331">
        <f t="shared" si="6"/>
        <v>6.807089525352752</v>
      </c>
      <c r="V35" s="65" t="s">
        <v>88</v>
      </c>
      <c r="W35" s="75"/>
    </row>
    <row r="36" spans="2:23" ht="15.75">
      <c r="B36" s="48"/>
      <c r="J36" s="56"/>
      <c r="M36" s="65"/>
      <c r="N36" s="65"/>
      <c r="O36" s="65"/>
      <c r="P36" s="65"/>
      <c r="Q36" s="65"/>
      <c r="R36" s="65"/>
      <c r="S36" s="65"/>
      <c r="T36" s="65"/>
      <c r="U36" s="65"/>
      <c r="V36" s="65"/>
      <c r="W36" s="75"/>
    </row>
    <row r="37" spans="13:23" ht="15.75">
      <c r="M37" s="59" t="s">
        <v>175</v>
      </c>
      <c r="N37" s="59" t="s">
        <v>118</v>
      </c>
      <c r="O37" s="74"/>
      <c r="P37" s="65"/>
      <c r="Q37" s="65"/>
      <c r="R37" s="65"/>
      <c r="S37" s="65"/>
      <c r="T37" s="65"/>
      <c r="U37" s="65"/>
      <c r="V37" s="65"/>
      <c r="W37" s="75" t="s">
        <v>173</v>
      </c>
    </row>
    <row r="38" spans="13:23" ht="15.75">
      <c r="M38" s="65"/>
      <c r="N38" s="65" t="s">
        <v>32</v>
      </c>
      <c r="O38" s="73">
        <f>(O32/100)*(O20/55.22)</f>
        <v>0.219946158207968</v>
      </c>
      <c r="P38" s="73">
        <f aca="true" t="shared" si="7" ref="P38:U38">(P32/100)*(P20/55.22)</f>
        <v>0.18858276332152993</v>
      </c>
      <c r="Q38" s="73">
        <f t="shared" si="7"/>
        <v>0.13018134497380132</v>
      </c>
      <c r="R38" s="73">
        <f t="shared" si="7"/>
        <v>0.15597417293480384</v>
      </c>
      <c r="S38" s="73">
        <f t="shared" si="7"/>
        <v>0.19400407307175818</v>
      </c>
      <c r="T38" s="73">
        <f t="shared" si="7"/>
        <v>0.11932479891962208</v>
      </c>
      <c r="U38" s="73">
        <f t="shared" si="7"/>
        <v>0.16867082499245345</v>
      </c>
      <c r="V38" s="65" t="s">
        <v>174</v>
      </c>
      <c r="W38" s="75"/>
    </row>
    <row r="39" spans="13:23" ht="15.75">
      <c r="M39" s="65"/>
      <c r="N39" s="65" t="s">
        <v>33</v>
      </c>
      <c r="O39" s="73">
        <f aca="true" t="shared" si="8" ref="O39:U39">(O33/100)*(O21/55.22)</f>
        <v>0.23636103850756957</v>
      </c>
      <c r="P39" s="73">
        <f t="shared" si="8"/>
        <v>0.20385717072198004</v>
      </c>
      <c r="Q39" s="73">
        <f t="shared" si="8"/>
        <v>0.07758672878875765</v>
      </c>
      <c r="R39" s="73">
        <f t="shared" si="8"/>
        <v>0.14884778993710196</v>
      </c>
      <c r="S39" s="73">
        <f t="shared" si="8"/>
        <v>0.2041977658458856</v>
      </c>
      <c r="T39" s="73">
        <f t="shared" si="8"/>
        <v>0.07758672878875765</v>
      </c>
      <c r="U39" s="73">
        <f t="shared" si="8"/>
        <v>0.1345604182437988</v>
      </c>
      <c r="V39" s="65" t="s">
        <v>174</v>
      </c>
      <c r="W39" s="75"/>
    </row>
    <row r="40" spans="1:23" ht="15.75">
      <c r="A40" s="37"/>
      <c r="C40" s="51"/>
      <c r="D40" s="51"/>
      <c r="E40" s="51"/>
      <c r="F40" s="51"/>
      <c r="G40" s="51"/>
      <c r="H40" s="51"/>
      <c r="I40" s="51"/>
      <c r="M40" s="65"/>
      <c r="N40" s="65" t="s">
        <v>34</v>
      </c>
      <c r="O40" s="73">
        <f aca="true" t="shared" si="9" ref="O40:U40">(O34/100)*(O22/55.22)</f>
        <v>0.23020545839521897</v>
      </c>
      <c r="P40" s="73">
        <f t="shared" si="9"/>
        <v>0.20937823862969765</v>
      </c>
      <c r="Q40" s="73">
        <f t="shared" si="9"/>
        <v>0.1172903850778577</v>
      </c>
      <c r="R40" s="73">
        <f t="shared" si="9"/>
        <v>0.15847955810141182</v>
      </c>
      <c r="S40" s="73">
        <f t="shared" si="9"/>
        <v>0.18979759553357686</v>
      </c>
      <c r="T40" s="73">
        <f t="shared" si="9"/>
        <v>0.1172903850778577</v>
      </c>
      <c r="U40" s="73">
        <f t="shared" si="9"/>
        <v>0.1592075267431932</v>
      </c>
      <c r="V40" s="65" t="s">
        <v>174</v>
      </c>
      <c r="W40" s="75"/>
    </row>
    <row r="41" spans="3:23" ht="15.75">
      <c r="C41" s="51"/>
      <c r="D41" s="51"/>
      <c r="E41" s="51"/>
      <c r="F41" s="51"/>
      <c r="G41" s="51"/>
      <c r="H41" s="51"/>
      <c r="I41" s="51"/>
      <c r="M41" s="65"/>
      <c r="N41" s="65" t="s">
        <v>35</v>
      </c>
      <c r="O41" s="73">
        <f aca="true" t="shared" si="10" ref="O41:U41">(O35/100)*(O23/55.22)</f>
        <v>0.22610173832031857</v>
      </c>
      <c r="P41" s="73">
        <f t="shared" si="10"/>
        <v>0.17911625880478085</v>
      </c>
      <c r="Q41" s="73">
        <f t="shared" si="10"/>
        <v>0.11281283160667052</v>
      </c>
      <c r="R41" s="73">
        <f t="shared" si="10"/>
        <v>0.15413956549138938</v>
      </c>
      <c r="S41" s="73">
        <f t="shared" si="10"/>
        <v>0.16441208373739272</v>
      </c>
      <c r="T41" s="73">
        <f t="shared" si="10"/>
        <v>0.13381258327763493</v>
      </c>
      <c r="U41" s="73">
        <f t="shared" si="10"/>
        <v>0.1725423195636641</v>
      </c>
      <c r="V41" s="65" t="s">
        <v>174</v>
      </c>
      <c r="W41" s="75"/>
    </row>
    <row r="42" spans="3:23" ht="15.75">
      <c r="C42" s="51"/>
      <c r="D42" s="51"/>
      <c r="E42" s="51"/>
      <c r="F42" s="51"/>
      <c r="G42" s="51"/>
      <c r="H42" s="51"/>
      <c r="I42" s="51"/>
      <c r="M42" s="65"/>
      <c r="N42" s="65"/>
      <c r="O42" s="65"/>
      <c r="P42" s="65"/>
      <c r="Q42" s="65"/>
      <c r="R42" s="65"/>
      <c r="S42" s="65"/>
      <c r="T42" s="65"/>
      <c r="U42" s="65"/>
      <c r="V42" s="65"/>
      <c r="W42" s="75"/>
    </row>
    <row r="43" spans="3:23" ht="15.75">
      <c r="C43" s="51"/>
      <c r="D43" s="51"/>
      <c r="E43" s="51"/>
      <c r="F43" s="51"/>
      <c r="G43" s="51"/>
      <c r="H43" s="51"/>
      <c r="I43" s="51"/>
      <c r="M43" s="59" t="s">
        <v>176</v>
      </c>
      <c r="N43" s="59" t="s">
        <v>177</v>
      </c>
      <c r="O43" s="65"/>
      <c r="P43" s="65"/>
      <c r="Q43" s="65"/>
      <c r="R43" s="65"/>
      <c r="S43" s="65"/>
      <c r="T43" s="65"/>
      <c r="U43" s="65"/>
      <c r="V43" s="65"/>
      <c r="W43" s="75" t="s">
        <v>178</v>
      </c>
    </row>
    <row r="44" spans="3:23" ht="15.75">
      <c r="C44" s="49"/>
      <c r="D44" s="49"/>
      <c r="M44" s="65"/>
      <c r="N44" s="65" t="s">
        <v>32</v>
      </c>
      <c r="O44" s="331">
        <f>(34.9*O6-30.8)/1000</f>
        <v>0.3158251335249998</v>
      </c>
      <c r="P44" s="331">
        <f aca="true" t="shared" si="11" ref="P44:U44">(34.9*P6-30.8)/1000</f>
        <v>0.26667698499781045</v>
      </c>
      <c r="Q44" s="331">
        <f t="shared" si="11"/>
        <v>0.17450777494708727</v>
      </c>
      <c r="R44" s="331">
        <f t="shared" si="11"/>
        <v>0.21506844007396453</v>
      </c>
      <c r="S44" s="331">
        <f t="shared" si="11"/>
        <v>0.27520645965906576</v>
      </c>
      <c r="T44" s="331">
        <f t="shared" si="11"/>
        <v>0.15730345112223526</v>
      </c>
      <c r="U44" s="331">
        <f t="shared" si="11"/>
        <v>0.23511322319733705</v>
      </c>
      <c r="V44" s="65" t="s">
        <v>174</v>
      </c>
      <c r="W44" s="75"/>
    </row>
    <row r="45" spans="1:23" ht="15.75">
      <c r="A45" s="37"/>
      <c r="C45" s="51"/>
      <c r="D45" s="51"/>
      <c r="E45" s="51"/>
      <c r="F45" s="51"/>
      <c r="G45" s="51"/>
      <c r="H45" s="51"/>
      <c r="I45" s="51"/>
      <c r="M45" s="65"/>
      <c r="N45" s="65" t="s">
        <v>33</v>
      </c>
      <c r="O45" s="331">
        <f aca="true" t="shared" si="12" ref="O45:U45">(34.9*O7-30.8)/1000</f>
        <v>0.3158251335249998</v>
      </c>
      <c r="P45" s="331">
        <f t="shared" si="12"/>
        <v>0.27049994394302573</v>
      </c>
      <c r="Q45" s="331">
        <f t="shared" si="12"/>
        <v>0.08489072472721892</v>
      </c>
      <c r="R45" s="331">
        <f t="shared" si="12"/>
        <v>0.18907726351157483</v>
      </c>
      <c r="S45" s="331">
        <f t="shared" si="12"/>
        <v>0.2712070499921559</v>
      </c>
      <c r="T45" s="331">
        <f t="shared" si="12"/>
        <v>0.08489072472721892</v>
      </c>
      <c r="U45" s="331">
        <f t="shared" si="12"/>
        <v>0.16725831798165677</v>
      </c>
      <c r="V45" s="65" t="s">
        <v>174</v>
      </c>
      <c r="W45" s="75"/>
    </row>
    <row r="46" spans="3:23" ht="15.75">
      <c r="C46" s="51"/>
      <c r="D46" s="51"/>
      <c r="E46" s="51"/>
      <c r="F46" s="51"/>
      <c r="G46" s="51"/>
      <c r="H46" s="51"/>
      <c r="I46" s="51"/>
      <c r="M46" s="65"/>
      <c r="N46" s="65" t="s">
        <v>34</v>
      </c>
      <c r="O46" s="331">
        <f aca="true" t="shared" si="13" ref="O46:U46">(34.9*O8-30.8)/1000</f>
        <v>0.3158251335249998</v>
      </c>
      <c r="P46" s="331">
        <f t="shared" si="13"/>
        <v>0.28644885249999996</v>
      </c>
      <c r="Q46" s="331">
        <f t="shared" si="13"/>
        <v>0.14828887914002106</v>
      </c>
      <c r="R46" s="331">
        <f t="shared" si="13"/>
        <v>0.20893245811342104</v>
      </c>
      <c r="S46" s="331">
        <f t="shared" si="13"/>
        <v>0.2555602285940093</v>
      </c>
      <c r="T46" s="331">
        <f t="shared" si="13"/>
        <v>0.14828887914002106</v>
      </c>
      <c r="U46" s="331">
        <f t="shared" si="13"/>
        <v>0.21033864075458572</v>
      </c>
      <c r="V46" s="65" t="s">
        <v>174</v>
      </c>
      <c r="W46" s="75"/>
    </row>
    <row r="47" spans="3:23" ht="15.75">
      <c r="C47" s="51"/>
      <c r="D47" s="51"/>
      <c r="E47" s="51"/>
      <c r="F47" s="51"/>
      <c r="G47" s="51"/>
      <c r="H47" s="51"/>
      <c r="I47" s="51"/>
      <c r="M47" s="65"/>
      <c r="N47" s="65" t="s">
        <v>35</v>
      </c>
      <c r="O47" s="331">
        <f aca="true" t="shared" si="14" ref="O47:U47">(34.9*O9-30.8)/1000</f>
        <v>0.3158251335249998</v>
      </c>
      <c r="P47" s="331">
        <f t="shared" si="14"/>
        <v>0.24379407250000001</v>
      </c>
      <c r="Q47" s="331">
        <f t="shared" si="14"/>
        <v>0.14277312846322104</v>
      </c>
      <c r="R47" s="331">
        <f t="shared" si="14"/>
        <v>0.20584880062574287</v>
      </c>
      <c r="S47" s="331">
        <f t="shared" si="14"/>
        <v>0.22092270420581533</v>
      </c>
      <c r="T47" s="331">
        <f t="shared" si="14"/>
        <v>0.1756114982764128</v>
      </c>
      <c r="U47" s="331">
        <f t="shared" si="14"/>
        <v>0.23468389214497035</v>
      </c>
      <c r="V47" s="65" t="s">
        <v>174</v>
      </c>
      <c r="W47" s="75"/>
    </row>
    <row r="48" spans="3:23" ht="15.75">
      <c r="C48" s="51"/>
      <c r="D48" s="51"/>
      <c r="E48" s="51"/>
      <c r="F48" s="51"/>
      <c r="G48" s="51"/>
      <c r="H48" s="51"/>
      <c r="I48" s="51"/>
      <c r="M48" s="65"/>
      <c r="N48" s="65"/>
      <c r="O48" s="65"/>
      <c r="P48" s="65"/>
      <c r="Q48" s="65"/>
      <c r="R48" s="65"/>
      <c r="S48" s="65"/>
      <c r="T48" s="65"/>
      <c r="U48" s="65"/>
      <c r="V48" s="65"/>
      <c r="W48" s="75"/>
    </row>
    <row r="49" spans="1:23" ht="15.75">
      <c r="A49" s="37"/>
      <c r="B49" s="35"/>
      <c r="C49" s="50"/>
      <c r="D49" s="50"/>
      <c r="E49" s="50"/>
      <c r="F49" s="50"/>
      <c r="G49" s="50"/>
      <c r="H49" s="50"/>
      <c r="I49" s="50"/>
      <c r="M49" s="65"/>
      <c r="N49" s="65"/>
      <c r="O49" s="65"/>
      <c r="P49" s="65"/>
      <c r="Q49" s="65"/>
      <c r="R49" s="65"/>
      <c r="S49" s="65"/>
      <c r="T49" s="65"/>
      <c r="U49" s="65"/>
      <c r="V49" s="65"/>
      <c r="W49" s="75"/>
    </row>
    <row r="50" spans="2:23" ht="15.75">
      <c r="B50" s="35"/>
      <c r="C50" s="50"/>
      <c r="D50" s="50"/>
      <c r="E50" s="50"/>
      <c r="F50" s="50"/>
      <c r="G50" s="50"/>
      <c r="H50" s="50"/>
      <c r="I50" s="50"/>
      <c r="M50" s="59" t="s">
        <v>179</v>
      </c>
      <c r="N50" s="65"/>
      <c r="O50" s="65"/>
      <c r="P50" s="65"/>
      <c r="Q50" s="65"/>
      <c r="R50" s="65"/>
      <c r="S50" s="65"/>
      <c r="T50" s="65"/>
      <c r="U50" s="65"/>
      <c r="V50" s="65"/>
      <c r="W50" s="75"/>
    </row>
    <row r="51" spans="2:23" ht="15.75">
      <c r="B51" s="35"/>
      <c r="C51" s="50"/>
      <c r="D51" s="50"/>
      <c r="E51" s="50"/>
      <c r="F51" s="50"/>
      <c r="G51" s="50"/>
      <c r="H51" s="50"/>
      <c r="I51" s="50"/>
      <c r="M51" s="65"/>
      <c r="N51" s="65" t="s">
        <v>32</v>
      </c>
      <c r="O51" s="331">
        <f>IF('Data input'!$J54="Trop",'Enteric fermentation'!O44,'Enteric fermentation'!O38)</f>
        <v>0.3158251335249998</v>
      </c>
      <c r="P51" s="331">
        <f>IF('Data input'!$J54="Trop",'Enteric fermentation'!P44,'Enteric fermentation'!P38)</f>
        <v>0.26667698499781045</v>
      </c>
      <c r="Q51" s="331">
        <f>IF('Data input'!$J54="Trop",'Enteric fermentation'!Q44,'Enteric fermentation'!Q38)</f>
        <v>0.17450777494708727</v>
      </c>
      <c r="R51" s="331">
        <f>IF('Data input'!$J54="Trop",'Enteric fermentation'!R44,'Enteric fermentation'!R38)</f>
        <v>0.21506844007396453</v>
      </c>
      <c r="S51" s="331">
        <f>IF('Data input'!$J54="Trop",'Enteric fermentation'!S44,'Enteric fermentation'!S38)</f>
        <v>0.27520645965906576</v>
      </c>
      <c r="T51" s="331">
        <f>IF('Data input'!$J54="Trop",'Enteric fermentation'!T44,'Enteric fermentation'!T38)</f>
        <v>0.15730345112223526</v>
      </c>
      <c r="U51" s="331">
        <f>IF('Data input'!$J54="Trop",'Enteric fermentation'!U44,'Enteric fermentation'!U38)</f>
        <v>0.23511322319733705</v>
      </c>
      <c r="V51" s="65" t="s">
        <v>174</v>
      </c>
      <c r="W51" s="75"/>
    </row>
    <row r="52" spans="2:23" ht="15.75">
      <c r="B52" s="35"/>
      <c r="C52" s="50"/>
      <c r="D52" s="50"/>
      <c r="E52" s="50"/>
      <c r="F52" s="50"/>
      <c r="G52" s="50"/>
      <c r="H52" s="50"/>
      <c r="I52" s="50"/>
      <c r="M52" s="65"/>
      <c r="N52" s="65" t="s">
        <v>33</v>
      </c>
      <c r="O52" s="331">
        <f>IF('Data input'!$J55="Trop",'Enteric fermentation'!O45,'Enteric fermentation'!O39)</f>
        <v>0.3158251335249998</v>
      </c>
      <c r="P52" s="331">
        <f>IF('Data input'!$J55="Trop",'Enteric fermentation'!P45,'Enteric fermentation'!P39)</f>
        <v>0.27049994394302573</v>
      </c>
      <c r="Q52" s="331">
        <f>IF('Data input'!$J55="Trop",'Enteric fermentation'!Q45,'Enteric fermentation'!Q39)</f>
        <v>0.08489072472721892</v>
      </c>
      <c r="R52" s="331">
        <f>IF('Data input'!$J55="Trop",'Enteric fermentation'!R45,'Enteric fermentation'!R39)</f>
        <v>0.18907726351157483</v>
      </c>
      <c r="S52" s="331">
        <f>IF('Data input'!$J55="Trop",'Enteric fermentation'!S45,'Enteric fermentation'!S39)</f>
        <v>0.2712070499921559</v>
      </c>
      <c r="T52" s="331">
        <f>IF('Data input'!$J55="Trop",'Enteric fermentation'!T45,'Enteric fermentation'!T39)</f>
        <v>0.08489072472721892</v>
      </c>
      <c r="U52" s="331">
        <f>IF('Data input'!$J55="Trop",'Enteric fermentation'!U45,'Enteric fermentation'!U39)</f>
        <v>0.16725831798165677</v>
      </c>
      <c r="V52" s="65" t="s">
        <v>174</v>
      </c>
      <c r="W52" s="75"/>
    </row>
    <row r="53" spans="13:23" ht="15.75">
      <c r="M53" s="65"/>
      <c r="N53" s="65" t="s">
        <v>34</v>
      </c>
      <c r="O53" s="331">
        <f>IF('Data input'!$J56="Trop",'Enteric fermentation'!O46,'Enteric fermentation'!O40)</f>
        <v>0.3158251335249998</v>
      </c>
      <c r="P53" s="331">
        <f>IF('Data input'!$J56="Trop",'Enteric fermentation'!P46,'Enteric fermentation'!P40)</f>
        <v>0.28644885249999996</v>
      </c>
      <c r="Q53" s="331">
        <f>IF('Data input'!$J56="Trop",'Enteric fermentation'!Q46,'Enteric fermentation'!Q40)</f>
        <v>0.14828887914002106</v>
      </c>
      <c r="R53" s="331">
        <f>IF('Data input'!$J56="Trop",'Enteric fermentation'!R46,'Enteric fermentation'!R40)</f>
        <v>0.20893245811342104</v>
      </c>
      <c r="S53" s="331">
        <f>IF('Data input'!$J56="Trop",'Enteric fermentation'!S46,'Enteric fermentation'!S40)</f>
        <v>0.2555602285940093</v>
      </c>
      <c r="T53" s="331">
        <f>IF('Data input'!$J56="Trop",'Enteric fermentation'!T46,'Enteric fermentation'!T40)</f>
        <v>0.14828887914002106</v>
      </c>
      <c r="U53" s="331">
        <f>IF('Data input'!$J56="Trop",'Enteric fermentation'!U46,'Enteric fermentation'!U40)</f>
        <v>0.21033864075458572</v>
      </c>
      <c r="V53" s="65" t="s">
        <v>174</v>
      </c>
      <c r="W53" s="75"/>
    </row>
    <row r="54" spans="1:23" ht="15.75">
      <c r="A54" s="48"/>
      <c r="M54" s="65"/>
      <c r="N54" s="65" t="s">
        <v>35</v>
      </c>
      <c r="O54" s="331">
        <f>IF('Data input'!$J57="Trop",'Enteric fermentation'!O47,'Enteric fermentation'!O41)</f>
        <v>0.3158251335249998</v>
      </c>
      <c r="P54" s="331">
        <f>IF('Data input'!$J57="Trop",'Enteric fermentation'!P47,'Enteric fermentation'!P41)</f>
        <v>0.24379407250000001</v>
      </c>
      <c r="Q54" s="331">
        <f>IF('Data input'!$J57="Trop",'Enteric fermentation'!Q47,'Enteric fermentation'!Q41)</f>
        <v>0.14277312846322104</v>
      </c>
      <c r="R54" s="331">
        <f>IF('Data input'!$J57="Trop",'Enteric fermentation'!R47,'Enteric fermentation'!R41)</f>
        <v>0.20584880062574287</v>
      </c>
      <c r="S54" s="331">
        <f>IF('Data input'!$J57="Trop",'Enteric fermentation'!S47,'Enteric fermentation'!S41)</f>
        <v>0.22092270420581533</v>
      </c>
      <c r="T54" s="331">
        <f>IF('Data input'!$J57="Trop",'Enteric fermentation'!T47,'Enteric fermentation'!T41)</f>
        <v>0.1756114982764128</v>
      </c>
      <c r="U54" s="331">
        <f>IF('Data input'!$J57="Trop",'Enteric fermentation'!U47,'Enteric fermentation'!U41)</f>
        <v>0.23468389214497035</v>
      </c>
      <c r="V54" s="65" t="s">
        <v>174</v>
      </c>
      <c r="W54" s="75"/>
    </row>
    <row r="55" spans="13:23" ht="15.75">
      <c r="M55" s="65"/>
      <c r="N55" s="65"/>
      <c r="O55" s="65"/>
      <c r="P55" s="65"/>
      <c r="Q55" s="65"/>
      <c r="R55" s="65"/>
      <c r="S55" s="65"/>
      <c r="T55" s="65"/>
      <c r="U55" s="65"/>
      <c r="V55" s="65"/>
      <c r="W55" s="75"/>
    </row>
    <row r="56" spans="13:23" ht="15.75">
      <c r="M56" s="65"/>
      <c r="N56" s="65"/>
      <c r="O56" s="65"/>
      <c r="P56" s="65"/>
      <c r="Q56" s="65"/>
      <c r="R56" s="65"/>
      <c r="S56" s="65"/>
      <c r="T56" s="65"/>
      <c r="U56" s="65"/>
      <c r="V56" s="65"/>
      <c r="W56" s="75"/>
    </row>
    <row r="57" spans="13:23" ht="19.5">
      <c r="M57" s="59" t="s">
        <v>189</v>
      </c>
      <c r="N57" s="59" t="s">
        <v>181</v>
      </c>
      <c r="O57" s="65"/>
      <c r="P57" s="65"/>
      <c r="Q57" s="65"/>
      <c r="R57" s="65"/>
      <c r="S57" s="65"/>
      <c r="T57" s="65"/>
      <c r="U57" s="65"/>
      <c r="V57" s="65"/>
      <c r="W57" s="75" t="s">
        <v>180</v>
      </c>
    </row>
    <row r="58" spans="3:23" ht="15.75">
      <c r="C58" s="52"/>
      <c r="D58" s="52"/>
      <c r="E58" s="52"/>
      <c r="F58" s="52"/>
      <c r="G58" s="52"/>
      <c r="H58" s="52"/>
      <c r="I58" s="52"/>
      <c r="J58" s="53"/>
      <c r="M58" s="65"/>
      <c r="N58" s="65" t="s">
        <v>32</v>
      </c>
      <c r="O58" s="332">
        <f>91.25*'Enteric fermentation'!D5*'Enteric fermentation'!O51*10^-6</f>
        <v>0.0005763808686831246</v>
      </c>
      <c r="P58" s="332">
        <f>91.25*'Enteric fermentation'!E5*'Enteric fermentation'!P51*10^-6</f>
        <v>0</v>
      </c>
      <c r="Q58" s="332">
        <f>91.25*'Enteric fermentation'!F5*'Enteric fermentation'!Q51*10^-6</f>
        <v>0.005971437923970642</v>
      </c>
      <c r="R58" s="332">
        <f>91.25*'Enteric fermentation'!G5*'Enteric fermentation'!R51*10^-6</f>
        <v>0.004984748769814313</v>
      </c>
      <c r="S58" s="332">
        <f>91.25*'Enteric fermentation'!H5*'Enteric fermentation'!S51*10^-6</f>
        <v>0.01710167341128892</v>
      </c>
      <c r="T58" s="332">
        <f>91.25*'Enteric fermentation'!I5*'Enteric fermentation'!T51*10^-6</f>
        <v>0.005382727468088987</v>
      </c>
      <c r="U58" s="332">
        <f>91.25*'Enteric fermentation'!J5*'Enteric fermentation'!U51*10^-6</f>
        <v>0.0008367091830535232</v>
      </c>
      <c r="V58" s="65" t="s">
        <v>182</v>
      </c>
      <c r="W58" s="75"/>
    </row>
    <row r="59" spans="3:23" ht="15.75">
      <c r="C59" s="52"/>
      <c r="D59" s="52"/>
      <c r="E59" s="52"/>
      <c r="F59" s="52"/>
      <c r="G59" s="52"/>
      <c r="H59" s="52"/>
      <c r="I59" s="52"/>
      <c r="J59" s="53"/>
      <c r="K59" s="41"/>
      <c r="M59" s="65"/>
      <c r="N59" s="65" t="s">
        <v>33</v>
      </c>
      <c r="O59" s="332">
        <f>91.25*'Enteric fermentation'!D6*'Enteric fermentation'!O52*10^-6</f>
        <v>0.0005763808686831246</v>
      </c>
      <c r="P59" s="332">
        <f>91.25*'Enteric fermentation'!E6*'Enteric fermentation'!P52*10^-6</f>
        <v>0.0009626416755072428</v>
      </c>
      <c r="Q59" s="332">
        <f>91.25*'Enteric fermentation'!F6*'Enteric fermentation'!Q52*10^-6</f>
        <v>0</v>
      </c>
      <c r="R59" s="332">
        <f>91.25*'Enteric fermentation'!G6*'Enteric fermentation'!R52*10^-6</f>
        <v>0.005917882001332903</v>
      </c>
      <c r="S59" s="332">
        <f>91.25*'Enteric fermentation'!H6*'Enteric fermentation'!S52*10^-6</f>
        <v>0.023906223439183562</v>
      </c>
      <c r="T59" s="332">
        <f>91.25*'Enteric fermentation'!I6*'Enteric fermentation'!T52*10^-6</f>
        <v>0</v>
      </c>
      <c r="U59" s="332">
        <f>91.25*'Enteric fermentation'!J6*'Enteric fermentation'!U52*10^-6</f>
        <v>0.005402861816602468</v>
      </c>
      <c r="V59" s="65" t="s">
        <v>182</v>
      </c>
      <c r="W59" s="75"/>
    </row>
    <row r="60" spans="10:23" ht="15.75">
      <c r="J60" s="53"/>
      <c r="M60" s="65"/>
      <c r="N60" s="65" t="s">
        <v>34</v>
      </c>
      <c r="O60" s="332">
        <f>91.25*'Enteric fermentation'!D7*'Enteric fermentation'!O53*10^-6</f>
        <v>0.0005763808686831246</v>
      </c>
      <c r="P60" s="332">
        <f>91.25*'Enteric fermentation'!E7*'Enteric fermentation'!P53*10^-6</f>
        <v>0</v>
      </c>
      <c r="Q60" s="332">
        <f>91.25*'Enteric fermentation'!F7*'Enteric fermentation'!Q53*10^-6</f>
        <v>0.005074260083072595</v>
      </c>
      <c r="R60" s="332">
        <f>91.25*'Enteric fermentation'!G7*'Enteric fermentation'!R53*10^-6</f>
        <v>0.006539324773377437</v>
      </c>
      <c r="S60" s="332">
        <f>91.25*'Enteric fermentation'!H7*'Enteric fermentation'!S53*10^-6</f>
        <v>0.02178705574762791</v>
      </c>
      <c r="T60" s="332">
        <f>91.25*'Enteric fermentation'!I7*'Enteric fermentation'!T53*10^-6</f>
        <v>0.005074260083072595</v>
      </c>
      <c r="U60" s="332">
        <f>91.25*'Enteric fermentation'!J7*'Enteric fermentation'!U53*10^-6</f>
        <v>0.006794463942975005</v>
      </c>
      <c r="V60" s="65" t="s">
        <v>182</v>
      </c>
      <c r="W60" s="75"/>
    </row>
    <row r="61" spans="13:23" ht="15.75">
      <c r="M61" s="65"/>
      <c r="N61" s="65" t="s">
        <v>35</v>
      </c>
      <c r="O61" s="332">
        <f>91.25*'Enteric fermentation'!D8*'Enteric fermentation'!O54*10^-6</f>
        <v>0.0005763808686831246</v>
      </c>
      <c r="P61" s="332">
        <f>91.25*'Enteric fermentation'!E8*'Enteric fermentation'!P54*10^-6</f>
        <v>0</v>
      </c>
      <c r="Q61" s="332">
        <f>91.25*'Enteric fermentation'!F8*'Enteric fermentation'!Q54*10^-6</f>
        <v>0.004885517989600845</v>
      </c>
      <c r="R61" s="332">
        <f>91.25*'Enteric fermentation'!G8*'Enteric fermentation'!R54*10^-6</f>
        <v>0.006442810148584969</v>
      </c>
      <c r="S61" s="332">
        <f>91.25*'Enteric fermentation'!H8*'Enteric fermentation'!S54*10^-6</f>
        <v>0.01564353668481378</v>
      </c>
      <c r="T61" s="332">
        <f>91.25*'Enteric fermentation'!I8*'Enteric fermentation'!T54*10^-6</f>
        <v>0.006009205956646</v>
      </c>
      <c r="U61" s="332">
        <f>91.25*'Enteric fermentation'!J8*'Enteric fermentation'!U54*10^-6</f>
        <v>0.007580876426012904</v>
      </c>
      <c r="V61" s="65" t="s">
        <v>182</v>
      </c>
      <c r="W61" s="75"/>
    </row>
    <row r="62" spans="5:23" ht="15.75">
      <c r="E62" s="338"/>
      <c r="F62" s="338"/>
      <c r="G62" s="338"/>
      <c r="H62" s="338"/>
      <c r="M62" s="65"/>
      <c r="N62" s="65"/>
      <c r="O62" s="65"/>
      <c r="P62" s="65"/>
      <c r="Q62" s="65"/>
      <c r="R62" s="65"/>
      <c r="S62" s="65"/>
      <c r="T62" s="65"/>
      <c r="U62" s="65"/>
      <c r="V62" s="65"/>
      <c r="W62" s="75"/>
    </row>
    <row r="63" spans="13:23" ht="15.75">
      <c r="M63" s="65"/>
      <c r="N63" s="65"/>
      <c r="O63" s="65"/>
      <c r="P63" s="65"/>
      <c r="Q63" s="65"/>
      <c r="R63" s="65"/>
      <c r="S63" s="65"/>
      <c r="T63" s="65"/>
      <c r="U63" s="65"/>
      <c r="V63" s="65"/>
      <c r="W63" s="75"/>
    </row>
    <row r="64" spans="3:23" ht="15.75">
      <c r="C64" s="4"/>
      <c r="D64" s="4"/>
      <c r="E64" s="4"/>
      <c r="F64" s="4"/>
      <c r="M64" s="59" t="s">
        <v>126</v>
      </c>
      <c r="N64" s="73">
        <f>SUM(O58:U61)</f>
        <v>0.15860374099935912</v>
      </c>
      <c r="O64" s="65"/>
      <c r="P64" s="65"/>
      <c r="Q64" s="65"/>
      <c r="R64" s="65"/>
      <c r="S64" s="65"/>
      <c r="T64" s="65"/>
      <c r="U64" s="65"/>
      <c r="V64" s="65" t="s">
        <v>183</v>
      </c>
      <c r="W64" s="75"/>
    </row>
    <row r="65" spans="3:23" ht="15.75">
      <c r="C65" s="4"/>
      <c r="D65" s="4"/>
      <c r="E65" s="4"/>
      <c r="F65" s="4"/>
      <c r="M65" s="59" t="s">
        <v>126</v>
      </c>
      <c r="N65" s="73">
        <f>N64*21</f>
        <v>3.3306785609865415</v>
      </c>
      <c r="O65" s="65"/>
      <c r="P65" s="65"/>
      <c r="Q65" s="65"/>
      <c r="R65" s="65"/>
      <c r="S65" s="65"/>
      <c r="T65" s="65"/>
      <c r="U65" s="65"/>
      <c r="V65" s="65" t="s">
        <v>184</v>
      </c>
      <c r="W65" s="75"/>
    </row>
    <row r="66" spans="3:23" ht="15.75">
      <c r="C66" s="4"/>
      <c r="D66" s="4"/>
      <c r="E66" s="4"/>
      <c r="F66" s="4"/>
      <c r="M66" s="67" t="s">
        <v>126</v>
      </c>
      <c r="N66" s="77">
        <f>N65*10^3</f>
        <v>3330.6785609865415</v>
      </c>
      <c r="O66" s="68"/>
      <c r="P66" s="68"/>
      <c r="Q66" s="68"/>
      <c r="R66" s="68"/>
      <c r="S66" s="68"/>
      <c r="T66" s="68"/>
      <c r="U66" s="68"/>
      <c r="V66" s="68" t="s">
        <v>185</v>
      </c>
      <c r="W66" s="78"/>
    </row>
    <row r="67" spans="3:6" ht="15.75">
      <c r="C67" s="4"/>
      <c r="D67" s="4"/>
      <c r="E67" s="4"/>
      <c r="F67" s="4"/>
    </row>
    <row r="93" ht="15.75">
      <c r="D93" s="54"/>
    </row>
    <row r="99" ht="15.75">
      <c r="B99" s="48"/>
    </row>
    <row r="110" spans="5:10" ht="15.75">
      <c r="E110" s="55"/>
      <c r="G110" s="55"/>
      <c r="I110" s="55"/>
      <c r="J110" s="55"/>
    </row>
    <row r="115" spans="3:11" ht="15.75">
      <c r="C115" s="48"/>
      <c r="D115" s="48"/>
      <c r="E115" s="48"/>
      <c r="F115" s="48"/>
      <c r="G115" s="48"/>
      <c r="H115" s="48"/>
      <c r="I115" s="48"/>
      <c r="J115" s="48"/>
      <c r="K115" s="48"/>
    </row>
    <row r="116" ht="15.75">
      <c r="C116" s="48"/>
    </row>
    <row r="117" ht="15.75">
      <c r="K117" s="49"/>
    </row>
  </sheetData>
  <sheetProtection sheet="1"/>
  <mergeCells count="2">
    <mergeCell ref="E62:F62"/>
    <mergeCell ref="G62:H62"/>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L36"/>
  <sheetViews>
    <sheetView showGridLines="0" zoomScale="80" zoomScaleNormal="80" zoomScalePageLayoutView="0" workbookViewId="0" topLeftCell="A1">
      <selection activeCell="A1" sqref="A1"/>
    </sheetView>
  </sheetViews>
  <sheetFormatPr defaultColWidth="8.8515625" defaultRowHeight="12.75"/>
  <cols>
    <col min="1" max="1" width="2.7109375" style="3" customWidth="1"/>
    <col min="2" max="2" width="31.28125" style="3" customWidth="1"/>
    <col min="3" max="3" width="12.140625" style="3" customWidth="1"/>
    <col min="4" max="4" width="13.7109375" style="3" bestFit="1" customWidth="1"/>
    <col min="5" max="5" width="11.28125" style="3" customWidth="1"/>
    <col min="6" max="6" width="11.57421875" style="3" customWidth="1"/>
    <col min="7" max="7" width="12.00390625" style="3" customWidth="1"/>
    <col min="8" max="8" width="11.8515625" style="3" customWidth="1"/>
    <col min="9" max="9" width="11.421875" style="3" customWidth="1"/>
    <col min="10" max="10" width="12.00390625" style="3" customWidth="1"/>
    <col min="11" max="11" width="20.00390625" style="56" customWidth="1"/>
    <col min="12" max="12" width="22.28125" style="61" customWidth="1"/>
    <col min="13" max="16384" width="8.8515625" style="3" customWidth="1"/>
  </cols>
  <sheetData>
    <row r="1" spans="2:4" ht="27" customHeight="1">
      <c r="B1" s="47" t="s">
        <v>127</v>
      </c>
      <c r="C1" s="47"/>
      <c r="D1" s="62"/>
    </row>
    <row r="2" spans="2:3" ht="12" customHeight="1">
      <c r="B2" s="48"/>
      <c r="C2" s="48"/>
    </row>
    <row r="3" spans="2:12" ht="15.75">
      <c r="B3" s="81" t="s">
        <v>112</v>
      </c>
      <c r="C3" s="81" t="s">
        <v>154</v>
      </c>
      <c r="D3" s="81" t="str">
        <f>'Data input'!D3</f>
        <v>Bulls &gt;1</v>
      </c>
      <c r="E3" s="81" t="str">
        <f>'Data input'!E3</f>
        <v>Bulls&lt;1</v>
      </c>
      <c r="F3" s="81" t="str">
        <f>'Data input'!F3</f>
        <v>Steers&lt;1</v>
      </c>
      <c r="G3" s="81" t="str">
        <f>'Data input'!G3</f>
        <v>Cows 1 to 2</v>
      </c>
      <c r="H3" s="81" t="str">
        <f>'Data input'!H3</f>
        <v>Cows &gt;2</v>
      </c>
      <c r="I3" s="81" t="str">
        <f>'Data input'!I3</f>
        <v>Cows&lt;1</v>
      </c>
      <c r="J3" s="81" t="str">
        <f>'Data input'!J3</f>
        <v>Steers&gt;1</v>
      </c>
      <c r="K3" s="81" t="str">
        <f>'Data input'!K3</f>
        <v>Units</v>
      </c>
      <c r="L3" s="79" t="s">
        <v>425</v>
      </c>
    </row>
    <row r="4" spans="2:12" ht="15.75">
      <c r="B4" s="82"/>
      <c r="C4" s="82"/>
      <c r="D4" s="82"/>
      <c r="E4" s="82"/>
      <c r="F4" s="82"/>
      <c r="G4" s="82"/>
      <c r="H4" s="82"/>
      <c r="I4" s="82"/>
      <c r="J4" s="82"/>
      <c r="K4" s="83"/>
      <c r="L4" s="80"/>
    </row>
    <row r="5" spans="2:12" ht="15.75">
      <c r="B5" s="82" t="s">
        <v>433</v>
      </c>
      <c r="C5" s="84" t="s">
        <v>32</v>
      </c>
      <c r="D5" s="84">
        <f>'Data input'!D4</f>
        <v>20</v>
      </c>
      <c r="E5" s="84">
        <f>'Data input'!E4</f>
        <v>0</v>
      </c>
      <c r="F5" s="84">
        <f>'Data input'!F4</f>
        <v>375</v>
      </c>
      <c r="G5" s="84">
        <f>'Data input'!G4</f>
        <v>254</v>
      </c>
      <c r="H5" s="84">
        <f>'Data input'!H4</f>
        <v>681</v>
      </c>
      <c r="I5" s="84">
        <f>'Data input'!I4</f>
        <v>375</v>
      </c>
      <c r="J5" s="84">
        <f>'Data input'!J4</f>
        <v>39</v>
      </c>
      <c r="K5" s="85" t="str">
        <f>'Data input'!K4</f>
        <v>head</v>
      </c>
      <c r="L5" s="80"/>
    </row>
    <row r="6" spans="2:12" ht="15.75">
      <c r="B6" s="82"/>
      <c r="C6" s="84" t="s">
        <v>33</v>
      </c>
      <c r="D6" s="84">
        <f>'Data input'!D5</f>
        <v>20</v>
      </c>
      <c r="E6" s="84">
        <f>'Data input'!E5</f>
        <v>39</v>
      </c>
      <c r="F6" s="84">
        <f>'Data input'!F5</f>
        <v>0</v>
      </c>
      <c r="G6" s="84">
        <f>'Data input'!G5</f>
        <v>343</v>
      </c>
      <c r="H6" s="84">
        <f>'Data input'!H5</f>
        <v>966</v>
      </c>
      <c r="I6" s="84">
        <f>'Data input'!I5</f>
        <v>0</v>
      </c>
      <c r="J6" s="84">
        <f>'Data input'!J5</f>
        <v>354</v>
      </c>
      <c r="K6" s="85" t="str">
        <f>'Data input'!K5</f>
        <v>head</v>
      </c>
      <c r="L6" s="80"/>
    </row>
    <row r="7" spans="2:12" ht="15.75">
      <c r="B7" s="82"/>
      <c r="C7" s="84" t="s">
        <v>34</v>
      </c>
      <c r="D7" s="84">
        <f>'Data input'!D6</f>
        <v>20</v>
      </c>
      <c r="E7" s="84">
        <f>'Data input'!E6</f>
        <v>0</v>
      </c>
      <c r="F7" s="84">
        <f>'Data input'!F6</f>
        <v>375</v>
      </c>
      <c r="G7" s="84">
        <f>'Data input'!G6</f>
        <v>343</v>
      </c>
      <c r="H7" s="84">
        <f>'Data input'!H6</f>
        <v>934.27</v>
      </c>
      <c r="I7" s="84">
        <f>'Data input'!I6</f>
        <v>375</v>
      </c>
      <c r="J7" s="84">
        <f>'Data input'!J6</f>
        <v>354</v>
      </c>
      <c r="K7" s="85" t="str">
        <f>'Data input'!K6</f>
        <v>head</v>
      </c>
      <c r="L7" s="80"/>
    </row>
    <row r="8" spans="2:12" ht="15.75">
      <c r="B8" s="82"/>
      <c r="C8" s="84" t="s">
        <v>35</v>
      </c>
      <c r="D8" s="84">
        <f>'Data input'!D7</f>
        <v>20</v>
      </c>
      <c r="E8" s="84">
        <f>'Data input'!E7</f>
        <v>0</v>
      </c>
      <c r="F8" s="84">
        <f>'Data input'!F7</f>
        <v>375</v>
      </c>
      <c r="G8" s="84">
        <f>'Data input'!G7</f>
        <v>343</v>
      </c>
      <c r="H8" s="84">
        <f>'Data input'!H7</f>
        <v>776</v>
      </c>
      <c r="I8" s="84">
        <f>'Data input'!I7</f>
        <v>375</v>
      </c>
      <c r="J8" s="84">
        <f>'Data input'!J7</f>
        <v>354</v>
      </c>
      <c r="K8" s="85" t="str">
        <f>'Data input'!K7</f>
        <v>head</v>
      </c>
      <c r="L8" s="80"/>
    </row>
    <row r="9" spans="2:12" ht="15.75">
      <c r="B9" s="82"/>
      <c r="C9" s="82"/>
      <c r="D9" s="84"/>
      <c r="E9" s="84"/>
      <c r="F9" s="84"/>
      <c r="G9" s="84"/>
      <c r="H9" s="84"/>
      <c r="I9" s="84"/>
      <c r="J9" s="84"/>
      <c r="K9" s="85"/>
      <c r="L9" s="80"/>
    </row>
    <row r="10" spans="2:12" ht="15.75">
      <c r="B10" s="82" t="s">
        <v>420</v>
      </c>
      <c r="C10" s="84" t="s">
        <v>32</v>
      </c>
      <c r="D10" s="84">
        <f>'Data input'!D28</f>
        <v>48</v>
      </c>
      <c r="E10" s="84">
        <f>'Data input'!E28</f>
        <v>48</v>
      </c>
      <c r="F10" s="84">
        <f>'Data input'!F28</f>
        <v>48</v>
      </c>
      <c r="G10" s="84">
        <f>'Data input'!G28</f>
        <v>48</v>
      </c>
      <c r="H10" s="84">
        <f>'Data input'!H28</f>
        <v>48</v>
      </c>
      <c r="I10" s="84">
        <f>'Data input'!I28</f>
        <v>48</v>
      </c>
      <c r="J10" s="84">
        <f>'Data input'!J28</f>
        <v>48</v>
      </c>
      <c r="K10" s="85" t="str">
        <f>'Data input'!K28</f>
        <v>%</v>
      </c>
      <c r="L10" s="80"/>
    </row>
    <row r="11" spans="2:12" ht="15.75">
      <c r="B11" s="84"/>
      <c r="C11" s="84" t="s">
        <v>33</v>
      </c>
      <c r="D11" s="84">
        <f>'Data input'!D29</f>
        <v>56</v>
      </c>
      <c r="E11" s="84">
        <f>'Data input'!E29</f>
        <v>56</v>
      </c>
      <c r="F11" s="84">
        <f>'Data input'!F29</f>
        <v>56</v>
      </c>
      <c r="G11" s="84">
        <f>'Data input'!G29</f>
        <v>56</v>
      </c>
      <c r="H11" s="84">
        <f>'Data input'!H29</f>
        <v>56</v>
      </c>
      <c r="I11" s="84">
        <f>'Data input'!I29</f>
        <v>56</v>
      </c>
      <c r="J11" s="84">
        <f>'Data input'!J29</f>
        <v>56</v>
      </c>
      <c r="K11" s="85" t="str">
        <f>'Data input'!K29</f>
        <v>%</v>
      </c>
      <c r="L11" s="80"/>
    </row>
    <row r="12" spans="2:12" ht="15.75">
      <c r="B12" s="84"/>
      <c r="C12" s="84" t="s">
        <v>34</v>
      </c>
      <c r="D12" s="84">
        <f>'Data input'!D30</f>
        <v>53</v>
      </c>
      <c r="E12" s="84">
        <f>'Data input'!E30</f>
        <v>53</v>
      </c>
      <c r="F12" s="84">
        <f>'Data input'!F30</f>
        <v>53</v>
      </c>
      <c r="G12" s="84">
        <f>'Data input'!G30</f>
        <v>53</v>
      </c>
      <c r="H12" s="84">
        <f>'Data input'!H30</f>
        <v>53</v>
      </c>
      <c r="I12" s="84">
        <f>'Data input'!I30</f>
        <v>53</v>
      </c>
      <c r="J12" s="84">
        <f>'Data input'!J30</f>
        <v>53</v>
      </c>
      <c r="K12" s="85" t="str">
        <f>'Data input'!K30</f>
        <v>%</v>
      </c>
      <c r="L12" s="80"/>
    </row>
    <row r="13" spans="2:12" ht="15.75">
      <c r="B13" s="84"/>
      <c r="C13" s="84" t="s">
        <v>35</v>
      </c>
      <c r="D13" s="84">
        <f>'Data input'!D31</f>
        <v>51</v>
      </c>
      <c r="E13" s="84">
        <f>'Data input'!E31</f>
        <v>51</v>
      </c>
      <c r="F13" s="84">
        <f>'Data input'!F31</f>
        <v>51</v>
      </c>
      <c r="G13" s="84">
        <f>'Data input'!G31</f>
        <v>51</v>
      </c>
      <c r="H13" s="84">
        <f>'Data input'!H31</f>
        <v>51</v>
      </c>
      <c r="I13" s="84">
        <f>'Data input'!I31</f>
        <v>51</v>
      </c>
      <c r="J13" s="84">
        <f>'Data input'!J31</f>
        <v>51</v>
      </c>
      <c r="K13" s="85" t="str">
        <f>'Data input'!K31</f>
        <v>%</v>
      </c>
      <c r="L13" s="80"/>
    </row>
    <row r="14" spans="2:12" ht="15.75">
      <c r="B14" s="82"/>
      <c r="C14" s="82"/>
      <c r="D14" s="84"/>
      <c r="E14" s="84"/>
      <c r="F14" s="84"/>
      <c r="G14" s="84"/>
      <c r="H14" s="84"/>
      <c r="I14" s="84"/>
      <c r="J14" s="84"/>
      <c r="K14" s="85"/>
      <c r="L14" s="80"/>
    </row>
    <row r="15" spans="2:12" ht="15.75">
      <c r="B15" s="84"/>
      <c r="C15" s="84"/>
      <c r="D15" s="84"/>
      <c r="E15" s="84"/>
      <c r="F15" s="84"/>
      <c r="G15" s="84"/>
      <c r="H15" s="84"/>
      <c r="I15" s="84"/>
      <c r="J15" s="84"/>
      <c r="K15" s="85"/>
      <c r="L15" s="80"/>
    </row>
    <row r="16" spans="2:12" ht="15.75">
      <c r="B16" s="82" t="s">
        <v>188</v>
      </c>
      <c r="C16" s="84">
        <f>IF('Data input'!$O$8&gt;5,C17,C18)</f>
        <v>5.4E-05</v>
      </c>
      <c r="D16" s="84"/>
      <c r="E16" s="84"/>
      <c r="F16" s="84"/>
      <c r="G16" s="84"/>
      <c r="H16" s="84"/>
      <c r="I16" s="84"/>
      <c r="J16" s="84"/>
      <c r="K16" s="85"/>
      <c r="L16" s="80"/>
    </row>
    <row r="17" spans="2:12" ht="15.75">
      <c r="B17" s="84" t="s">
        <v>124</v>
      </c>
      <c r="C17" s="84">
        <v>5.4E-05</v>
      </c>
      <c r="D17" s="84"/>
      <c r="E17" s="84"/>
      <c r="F17" s="84"/>
      <c r="G17" s="84"/>
      <c r="H17" s="84"/>
      <c r="I17" s="84"/>
      <c r="J17" s="84"/>
      <c r="K17" s="85"/>
      <c r="L17" s="80"/>
    </row>
    <row r="18" spans="2:12" ht="15.75">
      <c r="B18" s="86" t="s">
        <v>125</v>
      </c>
      <c r="C18" s="86">
        <v>1.4E-05</v>
      </c>
      <c r="D18" s="86"/>
      <c r="E18" s="86"/>
      <c r="F18" s="86"/>
      <c r="G18" s="86"/>
      <c r="H18" s="86"/>
      <c r="I18" s="86"/>
      <c r="J18" s="86"/>
      <c r="K18" s="87"/>
      <c r="L18" s="80"/>
    </row>
    <row r="19" spans="2:12" ht="15.75">
      <c r="B19" s="84"/>
      <c r="C19" s="84"/>
      <c r="D19" s="84"/>
      <c r="E19" s="84"/>
      <c r="F19" s="84"/>
      <c r="G19" s="84"/>
      <c r="H19" s="84"/>
      <c r="I19" s="84"/>
      <c r="J19" s="84"/>
      <c r="K19" s="85"/>
      <c r="L19" s="80"/>
    </row>
    <row r="20" spans="2:12" ht="15.75">
      <c r="B20" s="84"/>
      <c r="C20" s="84"/>
      <c r="D20" s="84"/>
      <c r="E20" s="84"/>
      <c r="F20" s="84"/>
      <c r="G20" s="84"/>
      <c r="H20" s="84"/>
      <c r="I20" s="84"/>
      <c r="J20" s="84"/>
      <c r="K20" s="85"/>
      <c r="L20" s="80"/>
    </row>
    <row r="21" spans="2:12" ht="15.75">
      <c r="B21" s="88" t="s">
        <v>186</v>
      </c>
      <c r="C21" s="89"/>
      <c r="D21" s="88" t="s">
        <v>187</v>
      </c>
      <c r="E21" s="89"/>
      <c r="F21" s="89"/>
      <c r="G21" s="89"/>
      <c r="H21" s="89"/>
      <c r="I21" s="89"/>
      <c r="J21" s="89"/>
      <c r="K21" s="90"/>
      <c r="L21" s="80" t="s">
        <v>192</v>
      </c>
    </row>
    <row r="22" spans="2:12" ht="15.75">
      <c r="B22" s="84"/>
      <c r="C22" s="84" t="s">
        <v>32</v>
      </c>
      <c r="D22" s="91">
        <f>'Enteric fermentation'!O6*(1-D10%)*$C$16</f>
        <v>0.0002788892191799999</v>
      </c>
      <c r="E22" s="91">
        <f>'Enteric fermentation'!P6*(1-E10%)*$C$16</f>
        <v>0.00023934537933348188</v>
      </c>
      <c r="F22" s="91">
        <f>'Enteric fermentation'!Q6*(1-F10%)*$C$16</f>
        <v>0.0001651874590405218</v>
      </c>
      <c r="G22" s="91">
        <f>'Enteric fermentation'!R6*(1-G10%)*$C$16</f>
        <v>0.00019782194261538463</v>
      </c>
      <c r="H22" s="91">
        <f>'Enteric fermentation'!S6*(1-H10%)*$C$16</f>
        <v>0.00024620806267124833</v>
      </c>
      <c r="I22" s="91">
        <f>'Enteric fermentation'!T6*(1-I10%)*$C$16</f>
        <v>0.00015134512628975263</v>
      </c>
      <c r="J22" s="91">
        <f>'Enteric fermentation'!U6*(1-J10%)*$C$16</f>
        <v>0.0002139496649679434</v>
      </c>
      <c r="K22" s="85" t="s">
        <v>174</v>
      </c>
      <c r="L22" s="80"/>
    </row>
    <row r="23" spans="2:12" ht="15.75">
      <c r="B23" s="84"/>
      <c r="C23" s="84" t="s">
        <v>33</v>
      </c>
      <c r="D23" s="91">
        <f>'Enteric fermentation'!O7*(1-D11%)*$C$16</f>
        <v>0.0002359831854599998</v>
      </c>
      <c r="E23" s="91">
        <f>'Enteric fermentation'!P7*(1-E11%)*$C$16</f>
        <v>0.00020512569249530918</v>
      </c>
      <c r="F23" s="91">
        <f>'Enteric fermentation'!Q7*(1-F11%)*$C$16</f>
        <v>7.876251058792897E-05</v>
      </c>
      <c r="G23" s="91">
        <f>'Enteric fermentation'!R7*(1-G11%)*$C$16</f>
        <v>0.00014969294501533003</v>
      </c>
      <c r="H23" s="91">
        <f>'Enteric fermentation'!S7*(1-H11%)*$C$16</f>
        <v>0.00020560709191443045</v>
      </c>
      <c r="I23" s="91">
        <f>'Enteric fermentation'!T7*(1-I11%)*$C$16</f>
        <v>7.876251058792897E-05</v>
      </c>
      <c r="J23" s="91">
        <f>'Enteric fermentation'!U7*(1-J11%)*$C$16</f>
        <v>0.00013483855688378694</v>
      </c>
      <c r="K23" s="85" t="s">
        <v>174</v>
      </c>
      <c r="L23" s="80"/>
    </row>
    <row r="24" spans="2:12" ht="15.75">
      <c r="B24" s="84"/>
      <c r="C24" s="84" t="s">
        <v>34</v>
      </c>
      <c r="D24" s="91">
        <f>'Enteric fermentation'!O8*(1-D12%)*$C$16</f>
        <v>0.00025207294810499983</v>
      </c>
      <c r="E24" s="91">
        <f>'Enteric fermentation'!P8*(1-E12%)*$C$16</f>
        <v>0.0002307099105</v>
      </c>
      <c r="F24" s="91">
        <f>'Enteric fermentation'!Q8*(1-F12%)*$C$16</f>
        <v>0.0001302371275809093</v>
      </c>
      <c r="G24" s="91">
        <f>'Enteric fermentation'!R8*(1-G12%)*$C$16</f>
        <v>0.00017433838930998929</v>
      </c>
      <c r="H24" s="91">
        <f>'Enteric fermentation'!S8*(1-H12%)*$C$16</f>
        <v>0.0002082470659517466</v>
      </c>
      <c r="I24" s="91">
        <f>'Enteric fermentation'!T8*(1-I12%)*$C$16</f>
        <v>0.0001302371275809093</v>
      </c>
      <c r="J24" s="91">
        <f>'Enteric fermentation'!U8*(1-J12%)*$C$16</f>
        <v>0.00017536099433671594</v>
      </c>
      <c r="K24" s="85" t="s">
        <v>174</v>
      </c>
      <c r="L24" s="80"/>
    </row>
    <row r="25" spans="2:12" ht="15.75">
      <c r="B25" s="84"/>
      <c r="C25" s="84" t="s">
        <v>35</v>
      </c>
      <c r="D25" s="91">
        <f>'Enteric fermentation'!O9*(1-D13%)*$C$16</f>
        <v>0.00026279945653499983</v>
      </c>
      <c r="E25" s="91">
        <f>'Enteric fermentation'!P9*(1-E13%)*$C$16</f>
        <v>0.0002081879415</v>
      </c>
      <c r="F25" s="91">
        <f>'Enteric fermentation'!Q9*(1-F13%)*$C$16</f>
        <v>0.00013159727733916415</v>
      </c>
      <c r="G25" s="91">
        <f>'Enteric fermentation'!R9*(1-G13%)*$C$16</f>
        <v>0.0001794191193282853</v>
      </c>
      <c r="H25" s="91">
        <f>'Enteric fermentation'!S9*(1-H13%)*$C$16</f>
        <v>0.00019084764336062677</v>
      </c>
      <c r="I25" s="91">
        <f>'Enteric fermentation'!T9*(1-I13%)*$C$16</f>
        <v>0.000156494219037074</v>
      </c>
      <c r="J25" s="91">
        <f>'Enteric fermentation'!U9*(1-J13%)*$C$16</f>
        <v>0.00020128091077810647</v>
      </c>
      <c r="K25" s="85" t="s">
        <v>174</v>
      </c>
      <c r="L25" s="80"/>
    </row>
    <row r="26" spans="2:12" ht="15.75">
      <c r="B26" s="84"/>
      <c r="C26" s="84"/>
      <c r="D26" s="84"/>
      <c r="E26" s="84"/>
      <c r="F26" s="84"/>
      <c r="G26" s="84"/>
      <c r="H26" s="84"/>
      <c r="I26" s="84"/>
      <c r="J26" s="84"/>
      <c r="K26" s="85"/>
      <c r="L26" s="80"/>
    </row>
    <row r="27" spans="2:12" ht="15.75">
      <c r="B27" s="82" t="s">
        <v>190</v>
      </c>
      <c r="C27" s="84"/>
      <c r="D27" s="84"/>
      <c r="E27" s="84"/>
      <c r="F27" s="84"/>
      <c r="G27" s="84"/>
      <c r="H27" s="84"/>
      <c r="I27" s="84"/>
      <c r="J27" s="84"/>
      <c r="K27" s="85"/>
      <c r="L27" s="80"/>
    </row>
    <row r="28" spans="2:12" ht="15.75">
      <c r="B28" s="84"/>
      <c r="C28" s="84"/>
      <c r="D28" s="82" t="s">
        <v>191</v>
      </c>
      <c r="E28" s="84"/>
      <c r="F28" s="84"/>
      <c r="G28" s="84"/>
      <c r="H28" s="84"/>
      <c r="I28" s="84"/>
      <c r="J28" s="84"/>
      <c r="K28" s="85"/>
      <c r="L28" s="80" t="s">
        <v>193</v>
      </c>
    </row>
    <row r="29" spans="2:12" ht="15.75">
      <c r="B29" s="84"/>
      <c r="C29" s="84" t="s">
        <v>32</v>
      </c>
      <c r="D29" s="92">
        <f>(D5*D22*91.25)*10^-6</f>
        <v>5.089728250034998E-07</v>
      </c>
      <c r="E29" s="92">
        <f aca="true" t="shared" si="0" ref="E29:J29">(E5*E22*91.25)*10^-6</f>
        <v>0</v>
      </c>
      <c r="F29" s="92">
        <f t="shared" si="0"/>
        <v>5.6525083640428556E-06</v>
      </c>
      <c r="G29" s="92">
        <f t="shared" si="0"/>
        <v>4.585018074968077E-06</v>
      </c>
      <c r="H29" s="92">
        <f t="shared" si="0"/>
        <v>1.5299676774469708E-05</v>
      </c>
      <c r="I29" s="92">
        <f t="shared" si="0"/>
        <v>5.178841040227472E-06</v>
      </c>
      <c r="J29" s="92">
        <f t="shared" si="0"/>
        <v>7.613933702046685E-07</v>
      </c>
      <c r="K29" s="85" t="s">
        <v>182</v>
      </c>
      <c r="L29" s="80"/>
    </row>
    <row r="30" spans="2:12" ht="15.75">
      <c r="B30" s="84"/>
      <c r="C30" s="84" t="s">
        <v>33</v>
      </c>
      <c r="D30" s="92">
        <f aca="true" t="shared" si="1" ref="D30:J30">(D6*D23*91.25)*10^-6</f>
        <v>4.3066931346449966E-07</v>
      </c>
      <c r="E30" s="92">
        <f t="shared" si="1"/>
        <v>7.299910581676815E-07</v>
      </c>
      <c r="F30" s="92">
        <f t="shared" si="1"/>
        <v>0</v>
      </c>
      <c r="G30" s="92">
        <f t="shared" si="1"/>
        <v>4.68520206279856E-06</v>
      </c>
      <c r="H30" s="92">
        <f t="shared" si="1"/>
        <v>1.8123751134527257E-05</v>
      </c>
      <c r="I30" s="92">
        <f t="shared" si="1"/>
        <v>0</v>
      </c>
      <c r="J30" s="92">
        <f t="shared" si="1"/>
        <v>4.355622483738528E-06</v>
      </c>
      <c r="K30" s="85" t="s">
        <v>182</v>
      </c>
      <c r="L30" s="80"/>
    </row>
    <row r="31" spans="2:12" ht="15.75">
      <c r="B31" s="84"/>
      <c r="C31" s="84" t="s">
        <v>34</v>
      </c>
      <c r="D31" s="92">
        <f aca="true" t="shared" si="2" ref="D31:J31">(D7*D24*91.25)*10^-6</f>
        <v>4.6003313029162465E-07</v>
      </c>
      <c r="E31" s="92">
        <f t="shared" si="2"/>
        <v>0</v>
      </c>
      <c r="F31" s="92">
        <f t="shared" si="2"/>
        <v>4.4565517094092405E-06</v>
      </c>
      <c r="G31" s="92">
        <f t="shared" si="2"/>
        <v>5.456573662416027E-06</v>
      </c>
      <c r="H31" s="92">
        <f t="shared" si="2"/>
        <v>1.7753507500489865E-05</v>
      </c>
      <c r="I31" s="92">
        <f t="shared" si="2"/>
        <v>4.4565517094092405E-06</v>
      </c>
      <c r="J31" s="92">
        <f t="shared" si="2"/>
        <v>5.664598519561767E-06</v>
      </c>
      <c r="K31" s="85" t="s">
        <v>182</v>
      </c>
      <c r="L31" s="80"/>
    </row>
    <row r="32" spans="2:12" ht="15.75">
      <c r="B32" s="84"/>
      <c r="C32" s="84" t="s">
        <v>35</v>
      </c>
      <c r="D32" s="92">
        <f aca="true" t="shared" si="3" ref="D32:J32">(D8*D25*91.25)*10^-6</f>
        <v>4.796090081763747E-07</v>
      </c>
      <c r="E32" s="92">
        <f t="shared" si="3"/>
        <v>0</v>
      </c>
      <c r="F32" s="92">
        <f t="shared" si="3"/>
        <v>4.503094333949523E-06</v>
      </c>
      <c r="G32" s="92">
        <f t="shared" si="3"/>
        <v>5.615594161076169E-06</v>
      </c>
      <c r="H32" s="92">
        <f t="shared" si="3"/>
        <v>1.351392162636598E-05</v>
      </c>
      <c r="I32" s="92">
        <f t="shared" si="3"/>
        <v>5.355036557674876E-06</v>
      </c>
      <c r="J32" s="92">
        <f t="shared" si="3"/>
        <v>6.501876620409784E-06</v>
      </c>
      <c r="K32" s="85" t="s">
        <v>182</v>
      </c>
      <c r="L32" s="80"/>
    </row>
    <row r="33" spans="2:12" ht="15.75">
      <c r="B33" s="84"/>
      <c r="C33" s="84"/>
      <c r="D33" s="84"/>
      <c r="E33" s="84"/>
      <c r="F33" s="84"/>
      <c r="G33" s="84"/>
      <c r="H33" s="84"/>
      <c r="I33" s="84"/>
      <c r="J33" s="84"/>
      <c r="K33" s="85"/>
      <c r="L33" s="80"/>
    </row>
    <row r="34" spans="2:12" ht="15.75">
      <c r="B34" s="82" t="s">
        <v>126</v>
      </c>
      <c r="C34" s="93">
        <f>SUM(D29:J32)</f>
        <v>0.00013452859504084328</v>
      </c>
      <c r="D34" s="84"/>
      <c r="E34" s="84"/>
      <c r="F34" s="84"/>
      <c r="G34" s="84"/>
      <c r="H34" s="84"/>
      <c r="I34" s="84"/>
      <c r="J34" s="84"/>
      <c r="K34" s="85" t="s">
        <v>183</v>
      </c>
      <c r="L34" s="80"/>
    </row>
    <row r="35" spans="2:12" ht="15.75">
      <c r="B35" s="82" t="s">
        <v>126</v>
      </c>
      <c r="C35" s="93">
        <f>C34*21</f>
        <v>0.0028251004958577087</v>
      </c>
      <c r="D35" s="84"/>
      <c r="E35" s="84"/>
      <c r="F35" s="84"/>
      <c r="G35" s="84"/>
      <c r="H35" s="84"/>
      <c r="I35" s="84"/>
      <c r="J35" s="84"/>
      <c r="K35" s="85" t="s">
        <v>184</v>
      </c>
      <c r="L35" s="80"/>
    </row>
    <row r="36" spans="2:12" ht="15.75">
      <c r="B36" s="94" t="s">
        <v>126</v>
      </c>
      <c r="C36" s="95">
        <f>C35*10^3</f>
        <v>2.8251004958577086</v>
      </c>
      <c r="D36" s="86"/>
      <c r="E36" s="86"/>
      <c r="F36" s="86"/>
      <c r="G36" s="86"/>
      <c r="H36" s="86"/>
      <c r="I36" s="86"/>
      <c r="J36" s="86"/>
      <c r="K36" s="87" t="s">
        <v>185</v>
      </c>
      <c r="L36" s="96"/>
    </row>
  </sheetData>
  <sheetProtection sheet="1"/>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AJ106"/>
  <sheetViews>
    <sheetView showGridLines="0" zoomScale="80" zoomScaleNormal="80" zoomScalePageLayoutView="0" workbookViewId="0" topLeftCell="A1">
      <selection activeCell="A1" sqref="A1"/>
    </sheetView>
  </sheetViews>
  <sheetFormatPr defaultColWidth="8.8515625" defaultRowHeight="12.75"/>
  <cols>
    <col min="1" max="1" width="2.7109375" style="1" customWidth="1"/>
    <col min="2" max="2" width="36.57421875" style="1" customWidth="1"/>
    <col min="3" max="3" width="13.7109375" style="1" bestFit="1" customWidth="1"/>
    <col min="4" max="4" width="11.00390625" style="1" bestFit="1" customWidth="1"/>
    <col min="5" max="5" width="11.57421875" style="1" customWidth="1"/>
    <col min="6" max="6" width="10.28125" style="1" customWidth="1"/>
    <col min="7" max="7" width="12.8515625" style="1" customWidth="1"/>
    <col min="8" max="8" width="11.421875" style="1" customWidth="1"/>
    <col min="9" max="9" width="11.28125" style="1" customWidth="1"/>
    <col min="10" max="10" width="11.8515625" style="1" customWidth="1"/>
    <col min="11" max="11" width="13.00390625" style="1" customWidth="1"/>
    <col min="12" max="12" width="8.8515625" style="1" customWidth="1"/>
    <col min="13" max="13" width="31.140625" style="1" customWidth="1"/>
    <col min="14" max="14" width="18.7109375" style="1" customWidth="1"/>
    <col min="15" max="15" width="11.7109375" style="1" customWidth="1"/>
    <col min="16" max="16" width="10.421875" style="1" customWidth="1"/>
    <col min="17" max="17" width="11.57421875" style="1" customWidth="1"/>
    <col min="18" max="18" width="11.421875" style="1" customWidth="1"/>
    <col min="19" max="19" width="10.8515625" style="1" customWidth="1"/>
    <col min="20" max="20" width="11.28125" style="1" customWidth="1"/>
    <col min="21" max="21" width="10.140625" style="1" customWidth="1"/>
    <col min="22" max="22" width="19.7109375" style="99" customWidth="1"/>
    <col min="23" max="23" width="22.7109375" style="101" customWidth="1"/>
    <col min="24" max="24" width="12.28125" style="1" customWidth="1"/>
    <col min="25" max="25" width="18.57421875" style="101" customWidth="1"/>
    <col min="26" max="16384" width="8.8515625" style="1" customWidth="1"/>
  </cols>
  <sheetData>
    <row r="1" spans="1:2" ht="27.75" customHeight="1">
      <c r="A1" s="124" t="s">
        <v>240</v>
      </c>
      <c r="B1" s="46"/>
    </row>
    <row r="3" spans="2:36" ht="15.75">
      <c r="B3" s="104" t="s">
        <v>194</v>
      </c>
      <c r="C3" s="104" t="s">
        <v>154</v>
      </c>
      <c r="D3" s="104" t="str">
        <f>'Data input'!D3</f>
        <v>Bulls &gt;1</v>
      </c>
      <c r="E3" s="104" t="str">
        <f>'Data input'!E3</f>
        <v>Bulls&lt;1</v>
      </c>
      <c r="F3" s="104" t="str">
        <f>'Data input'!F3</f>
        <v>Steers&lt;1</v>
      </c>
      <c r="G3" s="104" t="str">
        <f>'Data input'!G3</f>
        <v>Cows 1 to 2</v>
      </c>
      <c r="H3" s="104" t="str">
        <f>'Data input'!H3</f>
        <v>Cows &gt;2</v>
      </c>
      <c r="I3" s="104" t="str">
        <f>'Data input'!I3</f>
        <v>Cows&lt;1</v>
      </c>
      <c r="J3" s="104" t="str">
        <f>'Data input'!J3</f>
        <v>Steers&gt;1</v>
      </c>
      <c r="K3" s="104" t="str">
        <f>'Data input'!K3</f>
        <v>Units</v>
      </c>
      <c r="M3" s="104" t="s">
        <v>196</v>
      </c>
      <c r="N3" s="104" t="s">
        <v>154</v>
      </c>
      <c r="O3" s="104" t="str">
        <f>'Data input'!D3</f>
        <v>Bulls &gt;1</v>
      </c>
      <c r="P3" s="104" t="str">
        <f>'Data input'!E3</f>
        <v>Bulls&lt;1</v>
      </c>
      <c r="Q3" s="336" t="str">
        <f>'Data input'!F3</f>
        <v>Steers&lt;1</v>
      </c>
      <c r="R3" s="104" t="str">
        <f>'Data input'!G3</f>
        <v>Cows 1 to 2</v>
      </c>
      <c r="S3" s="104" t="str">
        <f>'Data input'!H3</f>
        <v>Cows &gt;2</v>
      </c>
      <c r="T3" s="336" t="str">
        <f>'Data input'!I3</f>
        <v>Cows&lt;1</v>
      </c>
      <c r="U3" s="104" t="str">
        <f>'Data input'!J3</f>
        <v>Steers&gt;1</v>
      </c>
      <c r="V3" s="104" t="str">
        <f>'Data input'!K3</f>
        <v>Units</v>
      </c>
      <c r="W3" s="103" t="s">
        <v>425</v>
      </c>
      <c r="Y3" s="1"/>
      <c r="AA3" s="3"/>
      <c r="AB3" s="3"/>
      <c r="AC3" s="3"/>
      <c r="AD3" s="3"/>
      <c r="AE3" s="3"/>
      <c r="AF3" s="3"/>
      <c r="AG3" s="3"/>
      <c r="AH3" s="3"/>
      <c r="AI3" s="3"/>
      <c r="AJ3" s="3"/>
    </row>
    <row r="4" spans="2:36" ht="15.75">
      <c r="B4" s="111"/>
      <c r="C4" s="111"/>
      <c r="D4" s="111"/>
      <c r="E4" s="111"/>
      <c r="F4" s="111"/>
      <c r="G4" s="111"/>
      <c r="H4" s="111"/>
      <c r="I4" s="111"/>
      <c r="J4" s="111"/>
      <c r="K4" s="111"/>
      <c r="M4" s="111"/>
      <c r="N4" s="111"/>
      <c r="O4" s="111"/>
      <c r="P4" s="111"/>
      <c r="Q4" s="111"/>
      <c r="R4" s="111"/>
      <c r="S4" s="111"/>
      <c r="T4" s="111"/>
      <c r="U4" s="111"/>
      <c r="V4" s="112"/>
      <c r="W4" s="122"/>
      <c r="Y4" s="1"/>
      <c r="AA4" s="102"/>
      <c r="AB4" s="102"/>
      <c r="AC4" s="102"/>
      <c r="AD4" s="102"/>
      <c r="AE4" s="102"/>
      <c r="AF4" s="102"/>
      <c r="AG4" s="102"/>
      <c r="AH4" s="3"/>
      <c r="AI4" s="3"/>
      <c r="AJ4" s="3"/>
    </row>
    <row r="5" spans="2:36" ht="17.25" customHeight="1">
      <c r="B5" s="110" t="s">
        <v>195</v>
      </c>
      <c r="C5" s="111" t="s">
        <v>32</v>
      </c>
      <c r="D5" s="111">
        <f>'Data input'!D22</f>
        <v>4</v>
      </c>
      <c r="E5" s="111">
        <f>'Data input'!E22</f>
        <v>4</v>
      </c>
      <c r="F5" s="111">
        <f>'Data input'!F22</f>
        <v>4</v>
      </c>
      <c r="G5" s="111">
        <f>'Data input'!G22</f>
        <v>4</v>
      </c>
      <c r="H5" s="111">
        <f>'Data input'!H22</f>
        <v>4</v>
      </c>
      <c r="I5" s="111">
        <f>'Data input'!I22</f>
        <v>4</v>
      </c>
      <c r="J5" s="111">
        <f>'Data input'!J22</f>
        <v>4</v>
      </c>
      <c r="K5" s="112" t="str">
        <f>'Data input'!K22</f>
        <v>%</v>
      </c>
      <c r="M5" s="110" t="s">
        <v>199</v>
      </c>
      <c r="N5" s="111"/>
      <c r="O5" s="110" t="s">
        <v>198</v>
      </c>
      <c r="P5" s="111"/>
      <c r="Q5" s="111"/>
      <c r="R5" s="111"/>
      <c r="S5" s="111"/>
      <c r="T5" s="111"/>
      <c r="U5" s="111"/>
      <c r="V5" s="112"/>
      <c r="W5" s="122" t="s">
        <v>197</v>
      </c>
      <c r="Y5" s="1"/>
      <c r="AA5" s="3"/>
      <c r="AB5" s="4"/>
      <c r="AC5" s="4"/>
      <c r="AD5" s="4"/>
      <c r="AE5" s="4"/>
      <c r="AF5" s="4"/>
      <c r="AG5" s="4"/>
      <c r="AH5" s="4"/>
      <c r="AI5" s="4"/>
      <c r="AJ5" s="3"/>
    </row>
    <row r="6" spans="2:36" ht="18" customHeight="1">
      <c r="B6" s="111"/>
      <c r="C6" s="111" t="s">
        <v>33</v>
      </c>
      <c r="D6" s="111">
        <f>'Data input'!D23</f>
        <v>11</v>
      </c>
      <c r="E6" s="111">
        <f>'Data input'!E23</f>
        <v>11</v>
      </c>
      <c r="F6" s="111">
        <f>'Data input'!F23</f>
        <v>11</v>
      </c>
      <c r="G6" s="111">
        <f>'Data input'!G23</f>
        <v>11</v>
      </c>
      <c r="H6" s="111">
        <f>'Data input'!H23</f>
        <v>11</v>
      </c>
      <c r="I6" s="111">
        <f>'Data input'!I23</f>
        <v>11</v>
      </c>
      <c r="J6" s="111">
        <f>'Data input'!J23</f>
        <v>11</v>
      </c>
      <c r="K6" s="112" t="str">
        <f>'Data input'!K23</f>
        <v>%</v>
      </c>
      <c r="M6" s="111"/>
      <c r="N6" s="111" t="s">
        <v>32</v>
      </c>
      <c r="O6" s="119">
        <f>'Enteric fermentation'!O6*D5%+(0.032*D$10)</f>
        <v>0.3972780899999998</v>
      </c>
      <c r="P6" s="119">
        <f>'Enteric fermentation'!P6*E5%+(0.032*E$10)</f>
        <v>0.34094783380837873</v>
      </c>
      <c r="Q6" s="333">
        <f>'Enteric fermentation'!Q6*F5%+(0.032*$F$9)</f>
        <v>0.23530977071299405</v>
      </c>
      <c r="R6" s="333">
        <f>'Enteric fermentation'!R6*G5%+(0.032*G$10)</f>
        <v>0.2817976390532545</v>
      </c>
      <c r="S6" s="119">
        <f>'Enteric fermentation'!S6*H5%+(0.032*H$10)</f>
        <v>0.35072373599892925</v>
      </c>
      <c r="T6" s="119">
        <f>'Enteric fermentation'!T6*I5%+(0.032*$I$9)</f>
        <v>0.21559134799110063</v>
      </c>
      <c r="U6" s="119">
        <f>'Enteric fermentation'!U6*J5%+(0.032*J$10)</f>
        <v>0.3047716025184379</v>
      </c>
      <c r="V6" s="112" t="s">
        <v>90</v>
      </c>
      <c r="W6" s="122"/>
      <c r="Y6" s="1"/>
      <c r="AA6" s="4"/>
      <c r="AB6" s="4"/>
      <c r="AC6" s="4"/>
      <c r="AD6" s="4"/>
      <c r="AE6" s="4"/>
      <c r="AF6" s="4"/>
      <c r="AG6" s="4"/>
      <c r="AH6" s="4"/>
      <c r="AI6" s="3"/>
      <c r="AJ6" s="3"/>
    </row>
    <row r="7" spans="2:36" ht="15.75">
      <c r="B7" s="111"/>
      <c r="C7" s="111" t="s">
        <v>34</v>
      </c>
      <c r="D7" s="111">
        <f>'Data input'!D24</f>
        <v>7</v>
      </c>
      <c r="E7" s="111">
        <f>'Data input'!E24</f>
        <v>7</v>
      </c>
      <c r="F7" s="111">
        <f>'Data input'!F24</f>
        <v>7</v>
      </c>
      <c r="G7" s="111">
        <f>'Data input'!G24</f>
        <v>7</v>
      </c>
      <c r="H7" s="111">
        <f>'Data input'!H24</f>
        <v>7</v>
      </c>
      <c r="I7" s="111">
        <f>'Data input'!I24</f>
        <v>7</v>
      </c>
      <c r="J7" s="111">
        <f>'Data input'!J24</f>
        <v>7</v>
      </c>
      <c r="K7" s="112" t="str">
        <f>'Data input'!K24</f>
        <v>%</v>
      </c>
      <c r="M7" s="111"/>
      <c r="N7" s="111" t="s">
        <v>33</v>
      </c>
      <c r="O7" s="119">
        <f>'Enteric fermentation'!O7*D6%+(0.032*D$10)</f>
        <v>1.0925147474999994</v>
      </c>
      <c r="P7" s="119">
        <f>'Enteric fermentation'!P7*E6%+(0.032*E$10)</f>
        <v>0.9496559837745797</v>
      </c>
      <c r="Q7" s="119">
        <f>'Enteric fermentation'!Q7*F6%+(0.032*$F$10)</f>
        <v>0.49264125272189346</v>
      </c>
      <c r="R7" s="119">
        <f>'Enteric fermentation'!R7*G6%+(0.032*G$10)</f>
        <v>0.693022893589491</v>
      </c>
      <c r="S7" s="119">
        <f>'Enteric fermentation'!S7*H6%+(0.032*H$10)</f>
        <v>0.95188468478903</v>
      </c>
      <c r="T7" s="119">
        <f>'Enteric fermentation'!T7*I6%+(0.032*I$10)</f>
        <v>0.49264125272189346</v>
      </c>
      <c r="U7" s="119">
        <f>'Enteric fermentation'!U7*J6%+(0.032*J$10)</f>
        <v>0.6242525781656805</v>
      </c>
      <c r="V7" s="112" t="s">
        <v>90</v>
      </c>
      <c r="W7" s="122"/>
      <c r="Y7" s="1"/>
      <c r="AA7" s="4"/>
      <c r="AB7" s="4"/>
      <c r="AC7" s="4"/>
      <c r="AD7" s="4"/>
      <c r="AE7" s="4"/>
      <c r="AF7" s="4"/>
      <c r="AG7" s="4"/>
      <c r="AH7" s="4"/>
      <c r="AI7" s="3"/>
      <c r="AJ7" s="3"/>
    </row>
    <row r="8" spans="2:36" ht="16.5" customHeight="1">
      <c r="B8" s="111"/>
      <c r="C8" s="111" t="s">
        <v>35</v>
      </c>
      <c r="D8" s="111">
        <f>'Data input'!D25</f>
        <v>5.5</v>
      </c>
      <c r="E8" s="111">
        <f>'Data input'!E25</f>
        <v>5.5</v>
      </c>
      <c r="F8" s="111">
        <f>'Data input'!F25</f>
        <v>5.5</v>
      </c>
      <c r="G8" s="111">
        <f>'Data input'!G25</f>
        <v>5.5</v>
      </c>
      <c r="H8" s="111">
        <f>'Data input'!H25</f>
        <v>5.5</v>
      </c>
      <c r="I8" s="111">
        <f>'Data input'!I25</f>
        <v>5.5</v>
      </c>
      <c r="J8" s="111">
        <f>'Data input'!J25</f>
        <v>5.5</v>
      </c>
      <c r="K8" s="112" t="str">
        <f>'Data input'!K25</f>
        <v>%</v>
      </c>
      <c r="M8" s="111"/>
      <c r="N8" s="111" t="s">
        <v>34</v>
      </c>
      <c r="O8" s="119">
        <f>'Enteric fermentation'!O8*D7%+(0.032*D$10)</f>
        <v>0.6952366574999997</v>
      </c>
      <c r="P8" s="119">
        <f>'Enteric fermentation'!P8*E7%+(0.032*E$10)</f>
        <v>0.6363157500000001</v>
      </c>
      <c r="Q8" s="119">
        <f>'Enteric fermentation'!Q8*F7%+(0.032*$F$10)</f>
        <v>0.4872040555817042</v>
      </c>
      <c r="R8" s="119">
        <f>'Enteric fermentation'!R8*G7%+(0.032*G$10)</f>
        <v>0.48083874120170417</v>
      </c>
      <c r="S8" s="119">
        <f>'Enteric fermentation'!S8*H7%+(0.032*H$10)</f>
        <v>0.5743614900166376</v>
      </c>
      <c r="T8" s="119">
        <f>'Enteric fermentation'!T8*I7%+(0.032*I$10)</f>
        <v>0.4872040555817042</v>
      </c>
      <c r="U8" s="119">
        <f>'Enteric fermentation'!U8*J7%+(0.032*J$10)</f>
        <v>0.48365916483727805</v>
      </c>
      <c r="V8" s="112" t="s">
        <v>90</v>
      </c>
      <c r="W8" s="122"/>
      <c r="Y8" s="1"/>
      <c r="AA8" s="4"/>
      <c r="AB8" s="4"/>
      <c r="AC8" s="4"/>
      <c r="AD8" s="4"/>
      <c r="AE8" s="4"/>
      <c r="AF8" s="4"/>
      <c r="AG8" s="4"/>
      <c r="AH8" s="4"/>
      <c r="AI8" s="3"/>
      <c r="AJ8" s="3"/>
    </row>
    <row r="9" spans="2:36" ht="15.75">
      <c r="B9" s="111"/>
      <c r="C9" s="334" t="s">
        <v>441</v>
      </c>
      <c r="D9" s="334"/>
      <c r="E9" s="334"/>
      <c r="F9" s="334">
        <v>0</v>
      </c>
      <c r="G9" s="334"/>
      <c r="H9" s="334"/>
      <c r="I9" s="334">
        <v>0</v>
      </c>
      <c r="J9" s="334"/>
      <c r="K9" s="111"/>
      <c r="M9" s="111"/>
      <c r="N9" s="111" t="s">
        <v>35</v>
      </c>
      <c r="O9" s="119">
        <f>'Enteric fermentation'!O9*D8%+(0.032*D$10)</f>
        <v>0.5462573737499997</v>
      </c>
      <c r="P9" s="119">
        <f>'Enteric fermentation'!P9*E8%+(0.032*E$10)</f>
        <v>0.43274137500000004</v>
      </c>
      <c r="Q9" s="333">
        <f>'Enteric fermentation'!Q9*F8%+(0.032*$F$9)</f>
        <v>0.27353931419705324</v>
      </c>
      <c r="R9" s="119">
        <f>'Enteric fermentation'!R9*G8%+(0.032*G$10)</f>
        <v>0.37294223594314785</v>
      </c>
      <c r="S9" s="119">
        <f>'Enteric fermentation'!S9*H8%+(0.032*H$10)</f>
        <v>0.3966976713845228</v>
      </c>
      <c r="T9" s="119">
        <f>'Enteric fermentation'!T9*I8%+(0.032*$I$9)</f>
        <v>0.3252903267966391</v>
      </c>
      <c r="U9" s="119">
        <f>'Enteric fermentation'!U9*J8%+(0.032*J$10)</f>
        <v>0.4183843572485207</v>
      </c>
      <c r="V9" s="112" t="s">
        <v>90</v>
      </c>
      <c r="W9" s="122"/>
      <c r="Y9" s="1"/>
      <c r="AA9" s="4"/>
      <c r="AB9" s="4"/>
      <c r="AC9" s="4"/>
      <c r="AD9" s="4"/>
      <c r="AE9" s="4"/>
      <c r="AF9" s="4"/>
      <c r="AG9" s="4"/>
      <c r="AH9" s="4"/>
      <c r="AI9" s="3"/>
      <c r="AJ9" s="3"/>
    </row>
    <row r="10" spans="2:36" ht="15.75">
      <c r="B10" s="110"/>
      <c r="C10" s="335" t="s">
        <v>442</v>
      </c>
      <c r="D10" s="334"/>
      <c r="E10" s="334"/>
      <c r="F10" s="334">
        <v>4</v>
      </c>
      <c r="G10" s="334"/>
      <c r="H10" s="334"/>
      <c r="I10" s="334">
        <v>4</v>
      </c>
      <c r="J10" s="334"/>
      <c r="K10" s="111"/>
      <c r="M10" s="111"/>
      <c r="N10" s="111"/>
      <c r="O10" s="111"/>
      <c r="P10" s="111"/>
      <c r="Q10" s="111"/>
      <c r="R10" s="111"/>
      <c r="S10" s="111"/>
      <c r="T10" s="119"/>
      <c r="U10" s="111"/>
      <c r="V10" s="112"/>
      <c r="W10" s="122"/>
      <c r="AA10" s="3"/>
      <c r="AB10" s="3"/>
      <c r="AC10" s="3"/>
      <c r="AD10" s="3"/>
      <c r="AE10" s="3"/>
      <c r="AF10" s="3"/>
      <c r="AG10" s="3"/>
      <c r="AH10" s="3"/>
      <c r="AI10" s="3"/>
      <c r="AJ10" s="3"/>
    </row>
    <row r="11" spans="2:36" ht="15" customHeight="1">
      <c r="B11" s="111"/>
      <c r="C11" s="111"/>
      <c r="D11" s="111"/>
      <c r="E11" s="111"/>
      <c r="F11" s="111"/>
      <c r="G11" s="111"/>
      <c r="H11" s="111"/>
      <c r="I11" s="111"/>
      <c r="J11" s="111"/>
      <c r="K11" s="112"/>
      <c r="M11" s="110" t="s">
        <v>200</v>
      </c>
      <c r="N11" s="111"/>
      <c r="O11" s="110" t="s">
        <v>204</v>
      </c>
      <c r="P11" s="111"/>
      <c r="Q11" s="111"/>
      <c r="R11" s="111"/>
      <c r="S11" s="111"/>
      <c r="T11" s="119"/>
      <c r="U11" s="111"/>
      <c r="V11" s="112"/>
      <c r="W11" s="122" t="s">
        <v>201</v>
      </c>
      <c r="AA11" s="109"/>
      <c r="AB11" s="109"/>
      <c r="AC11" s="109"/>
      <c r="AD11" s="109"/>
      <c r="AE11" s="109"/>
      <c r="AF11" s="109"/>
      <c r="AG11" s="109"/>
      <c r="AH11" s="3"/>
      <c r="AI11" s="3"/>
      <c r="AJ11" s="3"/>
    </row>
    <row r="12" spans="2:36" ht="15.75" customHeight="1">
      <c r="B12" s="110" t="s">
        <v>420</v>
      </c>
      <c r="C12" s="111" t="s">
        <v>32</v>
      </c>
      <c r="D12" s="111">
        <f>'Data input'!D28</f>
        <v>48</v>
      </c>
      <c r="E12" s="111">
        <f>'Data input'!E28</f>
        <v>48</v>
      </c>
      <c r="F12" s="111">
        <f>'Data input'!F28</f>
        <v>48</v>
      </c>
      <c r="G12" s="111">
        <f>'Data input'!G28</f>
        <v>48</v>
      </c>
      <c r="H12" s="111">
        <f>'Data input'!H28</f>
        <v>48</v>
      </c>
      <c r="I12" s="111">
        <f>'Data input'!I28</f>
        <v>48</v>
      </c>
      <c r="J12" s="111">
        <f>'Data input'!J28</f>
        <v>48</v>
      </c>
      <c r="K12" s="111" t="str">
        <f>'Data input'!K28</f>
        <v>%</v>
      </c>
      <c r="M12" s="111"/>
      <c r="N12" s="111" t="s">
        <v>32</v>
      </c>
      <c r="O12" s="119">
        <f>((0.3*(O6*((1-((D12+10)/100))))+(0.105*(D17*'Enteric fermentation'!O6*0.008))+(0.08*(0.032*D$10))+(0.0152*'Enteric fermentation'!O6))/6.25)</f>
        <v>0.04105670103282526</v>
      </c>
      <c r="P12" s="119">
        <f>((0.3*(P6*((1-((E12+10)/100))))+(0.105*(E17*'Enteric fermentation'!P6*0.008))+(0.08*(0.032*E$10))+(0.0152*'Enteric fermentation'!P6))/6.25)</f>
        <v>0.03523525115734423</v>
      </c>
      <c r="Q12" s="119">
        <f>((0.3*(Q6*((1-((F12+10)/100))))+(0.105*(F17*'Enteric fermentation'!Q6*0.008))+(0.08*(0.032*F$9))+(0.0152*'Enteric fermentation'!Q6))/6.25)</f>
        <v>0.0243180863718562</v>
      </c>
      <c r="R12" s="119">
        <f>((0.3*(R6*((1-((G12+10)/100))))+(0.105*(G17*'Enteric fermentation'!R6*0.008))+(0.08*(0.032*G$10))+(0.0152*'Enteric fermentation'!R6))/6.25)</f>
        <v>0.02912237475357747</v>
      </c>
      <c r="S12" s="119">
        <f>((0.3*(S6*((1-((H12+10)/100))))+(0.105*(H17*'Enteric fermentation'!S6*0.008))+(0.08*(0.032*H$10))+(0.0152*'Enteric fermentation'!S6))/6.25)</f>
        <v>0.036245541691019456</v>
      </c>
      <c r="T12" s="119">
        <f>((0.3*(T6*((1-((I12+10)/100))))+(0.105*(I17*'Enteric fermentation'!T6*0.008))+(0.08*(0.032*I$9))+(0.0152*'Enteric fermentation'!T6))/6.25)</f>
        <v>0.02228028613340951</v>
      </c>
      <c r="U12" s="119">
        <f>((0.3*(U6*((1-((J12+10)/100))))+(0.105*(J17*'Enteric fermentation'!U6*0.008))+(0.08*(0.032*J$10))+(0.0152*'Enteric fermentation'!U6))/6.25)</f>
        <v>0.03149661882409514</v>
      </c>
      <c r="V12" s="112" t="s">
        <v>90</v>
      </c>
      <c r="W12" s="122"/>
      <c r="AA12" s="4"/>
      <c r="AB12" s="4"/>
      <c r="AC12" s="4"/>
      <c r="AD12" s="4"/>
      <c r="AE12" s="4"/>
      <c r="AF12" s="4"/>
      <c r="AG12" s="4"/>
      <c r="AH12" s="3"/>
      <c r="AI12" s="3"/>
      <c r="AJ12" s="3"/>
    </row>
    <row r="13" spans="2:36" ht="15.75">
      <c r="B13" s="110"/>
      <c r="C13" s="111" t="s">
        <v>33</v>
      </c>
      <c r="D13" s="111">
        <f>'Data input'!D29</f>
        <v>56</v>
      </c>
      <c r="E13" s="111">
        <f>'Data input'!E29</f>
        <v>56</v>
      </c>
      <c r="F13" s="111">
        <f>'Data input'!F29</f>
        <v>56</v>
      </c>
      <c r="G13" s="111">
        <f>'Data input'!G29</f>
        <v>56</v>
      </c>
      <c r="H13" s="111">
        <f>'Data input'!H29</f>
        <v>56</v>
      </c>
      <c r="I13" s="111">
        <f>'Data input'!I29</f>
        <v>56</v>
      </c>
      <c r="J13" s="111">
        <f>'Data input'!J29</f>
        <v>56</v>
      </c>
      <c r="K13" s="111" t="str">
        <f>'Data input'!K29</f>
        <v>%</v>
      </c>
      <c r="M13" s="111"/>
      <c r="N13" s="111" t="s">
        <v>33</v>
      </c>
      <c r="O13" s="119">
        <f>((0.3*(O7*((1-((D13+10)/100))))+(0.105*(D18*'Enteric fermentation'!O7*0.008))+(0.08*(0.032*D$10))+(0.0152*'Enteric fermentation'!O7))/6.25)</f>
        <v>0.052590300561120934</v>
      </c>
      <c r="P13" s="119">
        <f>((0.3*(P7*((1-((E13+10)/100))))+(0.105*(E18*'Enteric fermentation'!P7*0.008))+(0.08*(0.032*E$10))+(0.0152*'Enteric fermentation'!P7))/6.25)</f>
        <v>0.04571351895309052</v>
      </c>
      <c r="Q13" s="119">
        <f>((0.3*(Q7*((1-((F13+10)/100))))+(0.105*(F18*'Enteric fermentation'!Q7*0.008))+(0.08*(0.032*F$10))+(0.0152*'Enteric fermentation'!Q7))/6.25)</f>
        <v>0.02128006866732903</v>
      </c>
      <c r="R13" s="119">
        <f>((0.3*(R7*((1-((G13+10)/100))))+(0.105*(G18*'Enteric fermentation'!R7*0.008))+(0.08*(0.032*G$10))+(0.0152*'Enteric fermentation'!R7))/6.25)</f>
        <v>0.03335999111500239</v>
      </c>
      <c r="S13" s="119">
        <f>((0.3*(S7*((1-((H13+10)/100))))+(0.105*(H18*'Enteric fermentation'!S7*0.008))+(0.08*(0.032*H$10))+(0.0152*'Enteric fermentation'!S7))/6.25)</f>
        <v>0.04582080176687315</v>
      </c>
      <c r="T13" s="119">
        <f>((0.3*(T7*((1-((I13+10)/100))))+(0.105*(I18*'Enteric fermentation'!T7*0.008))+(0.08*(0.032*I$10))+(0.0152*'Enteric fermentation'!T7))/6.25)</f>
        <v>0.02128006866732903</v>
      </c>
      <c r="U13" s="119">
        <f>((0.3*(U7*((1-((J13+10)/100))))+(0.105*(J18*'Enteric fermentation'!U7*0.008))+(0.08*(0.032*J$10))+(0.0152*'Enteric fermentation'!U7))/6.25)</f>
        <v>0.030049599592968226</v>
      </c>
      <c r="V13" s="112" t="s">
        <v>90</v>
      </c>
      <c r="W13" s="122"/>
      <c r="AA13" s="4"/>
      <c r="AB13" s="4"/>
      <c r="AC13" s="4"/>
      <c r="AD13" s="4"/>
      <c r="AE13" s="4"/>
      <c r="AF13" s="4"/>
      <c r="AG13" s="4"/>
      <c r="AH13" s="3"/>
      <c r="AI13" s="3"/>
      <c r="AJ13" s="3"/>
    </row>
    <row r="14" spans="2:36" ht="15.75">
      <c r="B14" s="110"/>
      <c r="C14" s="111" t="s">
        <v>34</v>
      </c>
      <c r="D14" s="111">
        <f>'Data input'!D30</f>
        <v>53</v>
      </c>
      <c r="E14" s="111">
        <f>'Data input'!E30</f>
        <v>53</v>
      </c>
      <c r="F14" s="111">
        <f>'Data input'!F30</f>
        <v>53</v>
      </c>
      <c r="G14" s="111">
        <f>'Data input'!G30</f>
        <v>53</v>
      </c>
      <c r="H14" s="111">
        <f>'Data input'!H30</f>
        <v>53</v>
      </c>
      <c r="I14" s="111">
        <f>'Data input'!I30</f>
        <v>53</v>
      </c>
      <c r="J14" s="111">
        <f>'Data input'!J30</f>
        <v>53</v>
      </c>
      <c r="K14" s="111" t="str">
        <f>'Data input'!K30</f>
        <v>%</v>
      </c>
      <c r="M14" s="111"/>
      <c r="N14" s="111" t="s">
        <v>34</v>
      </c>
      <c r="O14" s="119">
        <f>((0.3*(O8*((1-((D14+10)/100))))+(0.105*(D19*'Enteric fermentation'!O8*0.008))+(0.08*(0.032*D$10))+(0.0152*'Enteric fermentation'!O8))/6.25)</f>
        <v>0.046465530990310054</v>
      </c>
      <c r="P14" s="119">
        <f>((0.3*(P8*((1-((E14+10)/100))))+(0.105*(E19*'Enteric fermentation'!P8*0.008))+(0.08*(0.032*E$10))+(0.0152*'Enteric fermentation'!P8))/6.25)</f>
        <v>0.042527603920608004</v>
      </c>
      <c r="Q14" s="119">
        <f>((0.3*(Q8*((1-((F14+10)/100))))+(0.105*(F19*'Enteric fermentation'!Q8*0.008))+(0.08*(0.032*F$10))+(0.0152*'Enteric fermentation'!Q8))/6.25)</f>
        <v>0.027918767365753206</v>
      </c>
      <c r="R14" s="119">
        <f>((0.3*(R8*((1-((G14+10)/100))))+(0.105*(G19*'Enteric fermentation'!R8*0.008))+(0.08*(0.032*G$10))+(0.0152*'Enteric fermentation'!R8))/6.25)</f>
        <v>0.03213643467965363</v>
      </c>
      <c r="S14" s="119">
        <f>((0.3*(S8*((1-((H14+10)/100))))+(0.105*(H19*'Enteric fermentation'!S8*0.008))+(0.08*(0.032*H$10))+(0.0152*'Enteric fermentation'!S8))/6.25)</f>
        <v>0.03838694540356389</v>
      </c>
      <c r="T14" s="119">
        <f>((0.3*(T8*((1-((I14+10)/100))))+(0.105*(I19*'Enteric fermentation'!T8*0.008))+(0.08*(0.032*I$10))+(0.0152*'Enteric fermentation'!T8))/6.25)</f>
        <v>0.027918767365753206</v>
      </c>
      <c r="U14" s="119">
        <f>((0.3*(U8*((1-((J14+10)/100))))+(0.105*(J19*'Enteric fermentation'!U8*0.008))+(0.08*(0.032*J$10))+(0.0152*'Enteric fermentation'!U8))/6.25)</f>
        <v>0.03232493521458775</v>
      </c>
      <c r="V14" s="112" t="s">
        <v>90</v>
      </c>
      <c r="W14" s="122"/>
      <c r="AA14" s="4"/>
      <c r="AB14" s="4"/>
      <c r="AC14" s="4"/>
      <c r="AD14" s="4"/>
      <c r="AE14" s="4"/>
      <c r="AF14" s="4"/>
      <c r="AG14" s="4"/>
      <c r="AH14" s="3"/>
      <c r="AI14" s="3"/>
      <c r="AJ14" s="3"/>
    </row>
    <row r="15" spans="2:36" ht="15.75">
      <c r="B15" s="110"/>
      <c r="C15" s="111" t="s">
        <v>35</v>
      </c>
      <c r="D15" s="111">
        <f>'Data input'!D31</f>
        <v>51</v>
      </c>
      <c r="E15" s="111">
        <f>'Data input'!E31</f>
        <v>51</v>
      </c>
      <c r="F15" s="111">
        <f>'Data input'!F31</f>
        <v>51</v>
      </c>
      <c r="G15" s="111">
        <f>'Data input'!G31</f>
        <v>51</v>
      </c>
      <c r="H15" s="111">
        <f>'Data input'!H31</f>
        <v>51</v>
      </c>
      <c r="I15" s="111">
        <f>'Data input'!I31</f>
        <v>51</v>
      </c>
      <c r="J15" s="111">
        <f>'Data input'!J31</f>
        <v>51</v>
      </c>
      <c r="K15" s="111" t="str">
        <f>'Data input'!K31</f>
        <v>%</v>
      </c>
      <c r="M15" s="111"/>
      <c r="N15" s="111" t="s">
        <v>35</v>
      </c>
      <c r="O15" s="119">
        <f>((0.3*(O9*((1-((D15+10)/100))))+(0.105*(D20*'Enteric fermentation'!O9*0.008))+(0.08*(0.032*D$10))+(0.0152*'Enteric fermentation'!O9))/6.25)</f>
        <v>0.04391584470383614</v>
      </c>
      <c r="P15" s="119">
        <f>((0.3*(P9*((1-((E15+10)/100))))+(0.105*(E20*'Enteric fermentation'!P9*0.008))+(0.08*(0.032*E$10))+(0.0152*'Enteric fermentation'!P9))/6.25)</f>
        <v>0.034789833391104</v>
      </c>
      <c r="Q15" s="119">
        <f>((0.3*(Q9*((1-((F15+10)/100))))+(0.105*(F20*'Enteric fermentation'!Q9*0.008))+(0.08*(0.032*F$9))+(0.0152*'Enteric fermentation'!Q9))/6.25)</f>
        <v>0.021990934346946444</v>
      </c>
      <c r="R15" s="119">
        <f>((0.3*(R9*((1-((G15+10)/100))))+(0.105*(G20*'Enteric fermentation'!R9*0.008))+(0.08*(0.032*G$10))+(0.0152*'Enteric fermentation'!R9))/6.25)</f>
        <v>0.02998233818748649</v>
      </c>
      <c r="S15" s="119">
        <f>((0.3*(S9*((1-((H15+10)/100))))+(0.105*(H20*'Enteric fermentation'!S9*0.008))+(0.08*(0.032*H$10))+(0.0152*'Enteric fermentation'!S9))/6.25)</f>
        <v>0.03189213394283473</v>
      </c>
      <c r="T15" s="119">
        <f>((0.3*(T9*((1-((I15+10)/100))))+(0.105*(I20*'Enteric fermentation'!T9*0.008))+(0.08*(0.032*I$9))+(0.0152*'Enteric fermentation'!T9))/6.25)</f>
        <v>0.026151408039022953</v>
      </c>
      <c r="U15" s="119">
        <f>((0.3*(U9*((1-((J15+10)/100))))+(0.105*(J20*'Enteric fermentation'!U9*0.008))+(0.08*(0.032*J$10))+(0.0152*'Enteric fermentation'!U9))/6.25)</f>
        <v>0.03363561453332298</v>
      </c>
      <c r="V15" s="112" t="s">
        <v>90</v>
      </c>
      <c r="W15" s="122"/>
      <c r="AA15" s="4"/>
      <c r="AB15" s="4"/>
      <c r="AC15" s="4"/>
      <c r="AD15" s="4"/>
      <c r="AE15" s="4"/>
      <c r="AF15" s="4"/>
      <c r="AG15" s="4"/>
      <c r="AH15" s="3"/>
      <c r="AI15" s="3"/>
      <c r="AJ15" s="3"/>
    </row>
    <row r="16" spans="2:36" ht="15.75">
      <c r="B16" s="110"/>
      <c r="C16" s="111"/>
      <c r="D16" s="111"/>
      <c r="E16" s="111"/>
      <c r="F16" s="111"/>
      <c r="G16" s="111"/>
      <c r="H16" s="111"/>
      <c r="I16" s="111"/>
      <c r="J16" s="111"/>
      <c r="K16" s="111"/>
      <c r="M16" s="111"/>
      <c r="N16" s="111"/>
      <c r="O16" s="111"/>
      <c r="P16" s="111"/>
      <c r="Q16" s="111"/>
      <c r="R16" s="111"/>
      <c r="S16" s="111"/>
      <c r="T16" s="111"/>
      <c r="U16" s="111"/>
      <c r="V16" s="112"/>
      <c r="W16" s="122"/>
      <c r="AA16" s="3"/>
      <c r="AB16" s="3"/>
      <c r="AC16" s="3"/>
      <c r="AD16" s="3"/>
      <c r="AE16" s="3"/>
      <c r="AF16" s="3"/>
      <c r="AG16" s="3"/>
      <c r="AH16" s="3"/>
      <c r="AI16" s="3"/>
      <c r="AJ16" s="3"/>
    </row>
    <row r="17" spans="2:36" ht="15.75">
      <c r="B17" s="110" t="s">
        <v>202</v>
      </c>
      <c r="C17" s="111" t="s">
        <v>32</v>
      </c>
      <c r="D17" s="113">
        <f>0.1604*D12-1.037</f>
        <v>6.6621999999999995</v>
      </c>
      <c r="E17" s="113">
        <f aca="true" t="shared" si="0" ref="E17:J17">0.1604*E12-1.037</f>
        <v>6.6621999999999995</v>
      </c>
      <c r="F17" s="113">
        <f t="shared" si="0"/>
        <v>6.6621999999999995</v>
      </c>
      <c r="G17" s="113">
        <f t="shared" si="0"/>
        <v>6.6621999999999995</v>
      </c>
      <c r="H17" s="113">
        <f t="shared" si="0"/>
        <v>6.6621999999999995</v>
      </c>
      <c r="I17" s="113">
        <f t="shared" si="0"/>
        <v>6.6621999999999995</v>
      </c>
      <c r="J17" s="113">
        <f t="shared" si="0"/>
        <v>6.6621999999999995</v>
      </c>
      <c r="K17" s="113" t="s">
        <v>203</v>
      </c>
      <c r="M17" s="110" t="s">
        <v>205</v>
      </c>
      <c r="N17" s="111"/>
      <c r="O17" s="110" t="s">
        <v>206</v>
      </c>
      <c r="P17" s="111"/>
      <c r="Q17" s="111"/>
      <c r="R17" s="111"/>
      <c r="S17" s="111"/>
      <c r="T17" s="111"/>
      <c r="U17" s="111"/>
      <c r="V17" s="112" t="s">
        <v>90</v>
      </c>
      <c r="W17" s="122" t="s">
        <v>207</v>
      </c>
      <c r="AA17" s="3"/>
      <c r="AB17" s="3"/>
      <c r="AC17" s="3"/>
      <c r="AD17" s="3"/>
      <c r="AE17" s="3"/>
      <c r="AF17" s="3"/>
      <c r="AG17" s="3"/>
      <c r="AH17" s="3"/>
      <c r="AI17" s="3"/>
      <c r="AJ17" s="3"/>
    </row>
    <row r="18" spans="2:36" ht="15.75">
      <c r="B18" s="111"/>
      <c r="C18" s="111" t="s">
        <v>33</v>
      </c>
      <c r="D18" s="113">
        <f aca="true" t="shared" si="1" ref="D18:J18">0.1604*D13-1.037</f>
        <v>7.9453999999999985</v>
      </c>
      <c r="E18" s="113">
        <f t="shared" si="1"/>
        <v>7.9453999999999985</v>
      </c>
      <c r="F18" s="113">
        <f t="shared" si="1"/>
        <v>7.9453999999999985</v>
      </c>
      <c r="G18" s="113">
        <f t="shared" si="1"/>
        <v>7.9453999999999985</v>
      </c>
      <c r="H18" s="113">
        <f t="shared" si="1"/>
        <v>7.9453999999999985</v>
      </c>
      <c r="I18" s="113">
        <f t="shared" si="1"/>
        <v>7.9453999999999985</v>
      </c>
      <c r="J18" s="113">
        <f t="shared" si="1"/>
        <v>7.9453999999999985</v>
      </c>
      <c r="K18" s="113" t="s">
        <v>203</v>
      </c>
      <c r="M18" s="111"/>
      <c r="N18" s="111" t="s">
        <v>32</v>
      </c>
      <c r="O18" s="119">
        <f>((0.032*D22)+(0.212-0.008*('Enteric fermentation'!O26-2)-((0.14-0.008*('Enteric fermentation'!O26-2))/(1+EXP(-6*(D37-0.4)))))*(D32*0.92))/6.25</f>
        <v>0</v>
      </c>
      <c r="P18" s="119">
        <f>((0.032*E22)+(0.212-0.008*('Enteric fermentation'!P26-2)-((0.14-0.008*('Enteric fermentation'!P26-2))/(1+EXP(-6*(E37-0.4)))))*(E32*0.92))/6.25</f>
        <v>0.013866235003754978</v>
      </c>
      <c r="Q18" s="119">
        <f>((0.032*F22)+(0.212-0.008*('Enteric fermentation'!Q26-2)-((0.14-0.008*('Enteric fermentation'!Q26-2))/(1+EXP(-6*(F37-0.4)))))*(F32*0.92))/6.25</f>
        <v>0.011325959125317116</v>
      </c>
      <c r="R18" s="119">
        <f>((0.032*G22)+(0.212-0.008*('Enteric fermentation'!R26-2)-((0.14-0.008*('Enteric fermentation'!R26-2))/(1+EXP(-6*(G37-0.4)))))*(G32*0.92))/6.25</f>
        <v>0.0029168736198390034</v>
      </c>
      <c r="S18" s="119">
        <f>((0.032*H22)+(0.212-0.008*('Enteric fermentation'!S26-2)-((0.14-0.008*('Enteric fermentation'!S26-2))/(1+EXP(-6*(H37-0.4)))))*(H32*0.92))/6.25</f>
        <v>0.014739810179154968</v>
      </c>
      <c r="T18" s="119">
        <f>((0.032*I22)+(0.212-0.008*('Enteric fermentation'!T26-2)-((0.14-0.008*('Enteric fermentation'!T26-2))/(1+EXP(-6*(I37-0.4)))))*(I32*0.92))/6.25</f>
        <v>0.003961142348154946</v>
      </c>
      <c r="U18" s="119">
        <f>((0.032*J22)+(0.212-0.008*('Enteric fermentation'!U26-2)-((0.14-0.008*('Enteric fermentation'!U26-2))/(1+EXP(-6*(J37-0.4)))))*(J32*0.92))/6.25</f>
        <v>0.004788856800217003</v>
      </c>
      <c r="V18" s="112" t="s">
        <v>90</v>
      </c>
      <c r="W18" s="122"/>
      <c r="AA18" s="3"/>
      <c r="AB18" s="3"/>
      <c r="AC18" s="3"/>
      <c r="AD18" s="3"/>
      <c r="AE18" s="3"/>
      <c r="AF18" s="3"/>
      <c r="AG18" s="3"/>
      <c r="AH18" s="3"/>
      <c r="AI18" s="3"/>
      <c r="AJ18" s="3"/>
    </row>
    <row r="19" spans="2:36" ht="15.75">
      <c r="B19" s="111"/>
      <c r="C19" s="111" t="s">
        <v>34</v>
      </c>
      <c r="D19" s="113">
        <f aca="true" t="shared" si="2" ref="D19:J19">0.1604*D14-1.037</f>
        <v>7.464199999999999</v>
      </c>
      <c r="E19" s="113">
        <f t="shared" si="2"/>
        <v>7.464199999999999</v>
      </c>
      <c r="F19" s="113">
        <f t="shared" si="2"/>
        <v>7.464199999999999</v>
      </c>
      <c r="G19" s="113">
        <f t="shared" si="2"/>
        <v>7.464199999999999</v>
      </c>
      <c r="H19" s="113">
        <f t="shared" si="2"/>
        <v>7.464199999999999</v>
      </c>
      <c r="I19" s="113">
        <f t="shared" si="2"/>
        <v>7.464199999999999</v>
      </c>
      <c r="J19" s="113">
        <f t="shared" si="2"/>
        <v>7.464199999999999</v>
      </c>
      <c r="K19" s="113" t="s">
        <v>203</v>
      </c>
      <c r="M19" s="111"/>
      <c r="N19" s="111" t="s">
        <v>33</v>
      </c>
      <c r="O19" s="119">
        <f>((0.032*D23)+(0.212-0.008*('Enteric fermentation'!O27-2)-((0.14-0.008*('Enteric fermentation'!O27-2))/(1+EXP(-6*(D38-0.4)))))*(D33*0.92))/6.25</f>
        <v>0</v>
      </c>
      <c r="P19" s="119">
        <f>((0.032*E23)+(0.212-0.008*('Enteric fermentation'!P27-2)-((0.14-0.008*('Enteric fermentation'!P27-2))/(1+EXP(-6*(E38-0.4)))))*(E33*0.92))/6.25</f>
        <v>0.008289373260505783</v>
      </c>
      <c r="Q19" s="119">
        <f>((0.032*F23)+(0.212-0.008*('Enteric fermentation'!Q27-2)-((0.14-0.008*('Enteric fermentation'!Q27-2))/(1+EXP(-6*(F38-0.4)))))*(F33*0.92))/6.25</f>
        <v>0.018538461266281208</v>
      </c>
      <c r="R19" s="119">
        <f>((0.032*G23)+(0.212-0.008*('Enteric fermentation'!R27-2)-((0.14-0.008*('Enteric fermentation'!R27-2))/(1+EXP(-6*(G38-0.4)))))*(G33*0.92))/6.25</f>
        <v>0.007050875456744542</v>
      </c>
      <c r="S19" s="119">
        <f>((0.032*H23)+(0.212-0.008*('Enteric fermentation'!S27-2)-((0.14-0.008*('Enteric fermentation'!S27-2))/(1+EXP(-6*(H38-0.4)))))*(H33*0.92))/6.25</f>
        <v>0.01566241544859754</v>
      </c>
      <c r="T19" s="119">
        <f>((0.032*I23)+(0.212-0.008*('Enteric fermentation'!T27-2)-((0.14-0.008*('Enteric fermentation'!T27-2))/(1+EXP(-6*(I38-0.4)))))*(I33*0.92))/6.25</f>
        <v>0.018130143808521286</v>
      </c>
      <c r="U19" s="119">
        <f>((0.032*J23)+(0.212-0.008*('Enteric fermentation'!U27-2)-((0.14-0.008*('Enteric fermentation'!U27-2))/(1+EXP(-6*(J38-0.4)))))*(J33*0.92))/6.25</f>
        <v>0.004328463881983665</v>
      </c>
      <c r="V19" s="112" t="s">
        <v>90</v>
      </c>
      <c r="W19" s="122"/>
      <c r="AA19" s="3"/>
      <c r="AB19" s="3"/>
      <c r="AC19" s="3"/>
      <c r="AD19" s="3"/>
      <c r="AE19" s="3"/>
      <c r="AF19" s="3"/>
      <c r="AG19" s="3"/>
      <c r="AH19" s="3"/>
      <c r="AI19" s="3"/>
      <c r="AJ19" s="3"/>
    </row>
    <row r="20" spans="2:36" ht="15.75">
      <c r="B20" s="111"/>
      <c r="C20" s="111" t="s">
        <v>35</v>
      </c>
      <c r="D20" s="113">
        <f aca="true" t="shared" si="3" ref="D20:J20">0.1604*D15-1.037</f>
        <v>7.143399999999999</v>
      </c>
      <c r="E20" s="113">
        <f t="shared" si="3"/>
        <v>7.143399999999999</v>
      </c>
      <c r="F20" s="113">
        <f t="shared" si="3"/>
        <v>7.143399999999999</v>
      </c>
      <c r="G20" s="113">
        <f t="shared" si="3"/>
        <v>7.143399999999999</v>
      </c>
      <c r="H20" s="113">
        <f t="shared" si="3"/>
        <v>7.143399999999999</v>
      </c>
      <c r="I20" s="113">
        <f t="shared" si="3"/>
        <v>7.143399999999999</v>
      </c>
      <c r="J20" s="113">
        <f t="shared" si="3"/>
        <v>7.143399999999999</v>
      </c>
      <c r="K20" s="113" t="s">
        <v>203</v>
      </c>
      <c r="M20" s="111"/>
      <c r="N20" s="111" t="s">
        <v>34</v>
      </c>
      <c r="O20" s="119">
        <f>((0.032*D24)+(0.212-0.008*('Enteric fermentation'!O28-2)-((0.14-0.008*('Enteric fermentation'!O28-2))/(1+EXP(-6*(D39-0.4)))))*(D34*0.92))/6.25</f>
        <v>0</v>
      </c>
      <c r="P20" s="119">
        <f>((0.032*E24)+(0.212-0.008*('Enteric fermentation'!P28-2)-((0.14-0.008*('Enteric fermentation'!P28-2))/(1+EXP(-6*(E39-0.4)))))*(E34*0.92))/6.25</f>
        <v>0.009701231892679131</v>
      </c>
      <c r="Q20" s="119">
        <f>((0.032*F24)+(0.212-0.008*('Enteric fermentation'!Q28-2)-((0.14-0.008*('Enteric fermentation'!Q28-2))/(1+EXP(-6*(F39-0.4)))))*(F34*0.92))/6.25</f>
        <v>0.02448242954912172</v>
      </c>
      <c r="R20" s="119">
        <f>((0.032*G24)+(0.212-0.008*('Enteric fermentation'!R28-2)-((0.14-0.008*('Enteric fermentation'!R28-2))/(1+EXP(-6*(G39-0.4)))))*(G34*0.92))/6.25</f>
        <v>0.006356356909099605</v>
      </c>
      <c r="S20" s="119">
        <f>((0.032*H24)+(0.212-0.008*('Enteric fermentation'!S28-2)-((0.14-0.008*('Enteric fermentation'!S28-2))/(1+EXP(-6*(H39-0.4)))))*(H34*0.92))/6.25</f>
        <v>0.0025557803047168313</v>
      </c>
      <c r="T20" s="119">
        <f>((0.032*I24)+(0.212-0.008*('Enteric fermentation'!T28-2)-((0.14-0.008*('Enteric fermentation'!T28-2))/(1+EXP(-6*(I39-0.4)))))*(I34*0.92))/6.25</f>
        <v>0.022769292689594548</v>
      </c>
      <c r="U20" s="119">
        <f>((0.032*J24)+(0.212-0.008*('Enteric fermentation'!U28-2)-((0.14-0.008*('Enteric fermentation'!U28-2))/(1+EXP(-6*(J39-0.4)))))*(J34*0.92))/6.25</f>
        <v>0.009551407854710236</v>
      </c>
      <c r="V20" s="112" t="s">
        <v>90</v>
      </c>
      <c r="W20" s="122"/>
      <c r="AA20" s="3"/>
      <c r="AB20" s="3"/>
      <c r="AC20" s="3"/>
      <c r="AD20" s="3"/>
      <c r="AE20" s="3"/>
      <c r="AF20" s="3"/>
      <c r="AG20" s="3"/>
      <c r="AH20" s="3"/>
      <c r="AI20" s="3"/>
      <c r="AJ20" s="3"/>
    </row>
    <row r="21" spans="2:36" ht="15.75">
      <c r="B21" s="111"/>
      <c r="C21" s="111"/>
      <c r="D21" s="111"/>
      <c r="E21" s="111"/>
      <c r="F21" s="111"/>
      <c r="G21" s="111"/>
      <c r="H21" s="111"/>
      <c r="I21" s="111"/>
      <c r="J21" s="111"/>
      <c r="K21" s="111"/>
      <c r="M21" s="111"/>
      <c r="N21" s="111" t="s">
        <v>35</v>
      </c>
      <c r="O21" s="119">
        <f>((0.032*D25)+(0.212-0.008*('Enteric fermentation'!O29-2)-((0.14-0.008*('Enteric fermentation'!O29-2))/(1+EXP(-6*(D40-0.4)))))*(D35*0.92))/6.25</f>
        <v>0</v>
      </c>
      <c r="P21" s="119">
        <f>((0.032*E25)+(0.212-0.008*('Enteric fermentation'!P29-2)-((0.14-0.008*('Enteric fermentation'!P29-2))/(1+EXP(-6*(E40-0.4)))))*(E35*0.92))/6.25</f>
        <v>0</v>
      </c>
      <c r="Q21" s="119">
        <f>((0.032*F25)+(0.212-0.008*('Enteric fermentation'!Q29-2)-((0.14-0.008*('Enteric fermentation'!Q29-2))/(1+EXP(-6*(F40-0.4)))))*(F35*0.92))/6.25</f>
        <v>0.010139989168578665</v>
      </c>
      <c r="R21" s="119">
        <f>((0.032*G25)+(0.212-0.008*('Enteric fermentation'!R29-2)-((0.14-0.008*('Enteric fermentation'!R29-2))/(1+EXP(-6*(G40-0.4)))))*(G35*0.92))/6.25</f>
        <v>0.00303879476362521</v>
      </c>
      <c r="S21" s="119">
        <f>((0.032*H25)+(0.212-0.008*('Enteric fermentation'!S29-2)-((0.14-0.008*('Enteric fermentation'!S29-2))/(1+EXP(-6*(H40-0.4)))))*(H35*0.92))/6.25</f>
        <v>-0.0026092807315658485</v>
      </c>
      <c r="T21" s="119">
        <f>((0.032*I25)+(0.212-0.008*('Enteric fermentation'!T29-2)-((0.14-0.008*('Enteric fermentation'!T29-2))/(1+EXP(-6*(I40-0.4)))))*(I35*0.92))/6.25</f>
        <v>0.014648930423407975</v>
      </c>
      <c r="U21" s="119">
        <f>((0.032*J25)+(0.212-0.008*('Enteric fermentation'!U29-2)-((0.14-0.008*('Enteric fermentation'!U29-2))/(1+EXP(-6*(J40-0.4)))))*(J35*0.92))/6.25</f>
        <v>0.008497250725078825</v>
      </c>
      <c r="V21" s="112"/>
      <c r="W21" s="122"/>
      <c r="AA21" s="3"/>
      <c r="AB21" s="3"/>
      <c r="AC21" s="3"/>
      <c r="AD21" s="3"/>
      <c r="AE21" s="3"/>
      <c r="AF21" s="3"/>
      <c r="AG21" s="3"/>
      <c r="AH21" s="3"/>
      <c r="AI21" s="3"/>
      <c r="AJ21" s="3"/>
    </row>
    <row r="22" spans="2:36" ht="15.75">
      <c r="B22" s="110" t="s">
        <v>213</v>
      </c>
      <c r="C22" s="111" t="s">
        <v>32</v>
      </c>
      <c r="D22" s="111">
        <v>0</v>
      </c>
      <c r="E22" s="111">
        <v>0</v>
      </c>
      <c r="F22" s="111">
        <v>0</v>
      </c>
      <c r="G22" s="111">
        <v>0</v>
      </c>
      <c r="H22" s="111">
        <f>'Data input'!H54*'Data input'!G54</f>
        <v>3.4</v>
      </c>
      <c r="I22" s="111">
        <v>0</v>
      </c>
      <c r="J22" s="111">
        <v>0</v>
      </c>
      <c r="K22" s="111" t="s">
        <v>90</v>
      </c>
      <c r="M22" s="111"/>
      <c r="N22" s="111"/>
      <c r="O22" s="111"/>
      <c r="P22" s="111"/>
      <c r="Q22" s="111"/>
      <c r="R22" s="111"/>
      <c r="S22" s="111"/>
      <c r="T22" s="111"/>
      <c r="U22" s="111"/>
      <c r="V22" s="112"/>
      <c r="W22" s="122"/>
      <c r="AA22" s="3"/>
      <c r="AB22" s="3"/>
      <c r="AC22" s="3"/>
      <c r="AD22" s="3"/>
      <c r="AE22" s="3"/>
      <c r="AF22" s="3"/>
      <c r="AG22" s="3"/>
      <c r="AH22" s="3"/>
      <c r="AI22" s="3"/>
      <c r="AJ22" s="3"/>
    </row>
    <row r="23" spans="2:36" ht="15.75">
      <c r="B23" s="111"/>
      <c r="C23" s="111" t="s">
        <v>33</v>
      </c>
      <c r="D23" s="111">
        <v>0</v>
      </c>
      <c r="E23" s="111">
        <v>0</v>
      </c>
      <c r="F23" s="111">
        <v>0</v>
      </c>
      <c r="G23" s="111">
        <v>0</v>
      </c>
      <c r="H23" s="111">
        <f>'Data input'!H55*'Data input'!G55</f>
        <v>2.55</v>
      </c>
      <c r="I23" s="111">
        <v>0</v>
      </c>
      <c r="J23" s="111">
        <v>0</v>
      </c>
      <c r="K23" s="111" t="s">
        <v>90</v>
      </c>
      <c r="M23" s="111"/>
      <c r="N23" s="115" t="s">
        <v>208</v>
      </c>
      <c r="O23" s="107"/>
      <c r="P23" s="107"/>
      <c r="Q23" s="107"/>
      <c r="R23" s="107"/>
      <c r="S23" s="107"/>
      <c r="T23" s="107"/>
      <c r="U23" s="116"/>
      <c r="V23" s="112" t="s">
        <v>152</v>
      </c>
      <c r="W23" s="122" t="s">
        <v>215</v>
      </c>
      <c r="AA23" s="3"/>
      <c r="AB23" s="3"/>
      <c r="AC23" s="3"/>
      <c r="AD23" s="3"/>
      <c r="AE23" s="3"/>
      <c r="AF23" s="3"/>
      <c r="AG23" s="3"/>
      <c r="AH23" s="3"/>
      <c r="AI23" s="3"/>
      <c r="AJ23" s="3"/>
    </row>
    <row r="24" spans="2:36" ht="15.75">
      <c r="B24" s="111"/>
      <c r="C24" s="111" t="s">
        <v>34</v>
      </c>
      <c r="D24" s="111">
        <v>0</v>
      </c>
      <c r="E24" s="111">
        <v>0</v>
      </c>
      <c r="F24" s="111">
        <v>0</v>
      </c>
      <c r="G24" s="111">
        <v>0</v>
      </c>
      <c r="H24" s="111">
        <f>'Data input'!H56*'Data input'!G56</f>
        <v>0</v>
      </c>
      <c r="I24" s="111">
        <v>0</v>
      </c>
      <c r="J24" s="111">
        <v>0</v>
      </c>
      <c r="K24" s="111" t="s">
        <v>90</v>
      </c>
      <c r="M24" s="111"/>
      <c r="N24" s="117" t="s">
        <v>101</v>
      </c>
      <c r="O24" s="111" t="s">
        <v>4</v>
      </c>
      <c r="P24" s="111" t="s">
        <v>95</v>
      </c>
      <c r="Q24" s="111" t="s">
        <v>96</v>
      </c>
      <c r="R24" s="111" t="s">
        <v>5</v>
      </c>
      <c r="S24" s="111" t="s">
        <v>6</v>
      </c>
      <c r="T24" s="111" t="s">
        <v>99</v>
      </c>
      <c r="U24" s="118" t="s">
        <v>100</v>
      </c>
      <c r="V24" s="112"/>
      <c r="W24" s="122"/>
      <c r="AA24" s="3"/>
      <c r="AB24" s="3"/>
      <c r="AC24" s="3"/>
      <c r="AD24" s="3"/>
      <c r="AE24" s="3"/>
      <c r="AF24" s="3"/>
      <c r="AG24" s="3"/>
      <c r="AH24" s="3"/>
      <c r="AI24" s="3"/>
      <c r="AJ24" s="3"/>
    </row>
    <row r="25" spans="2:36" ht="15.75">
      <c r="B25" s="111"/>
      <c r="C25" s="111" t="s">
        <v>35</v>
      </c>
      <c r="D25" s="111">
        <v>0</v>
      </c>
      <c r="E25" s="111">
        <v>0</v>
      </c>
      <c r="F25" s="111">
        <v>0</v>
      </c>
      <c r="G25" s="111">
        <v>0</v>
      </c>
      <c r="H25" s="111">
        <f>'Data input'!H57*'Data input'!G57</f>
        <v>0</v>
      </c>
      <c r="I25" s="111">
        <v>0</v>
      </c>
      <c r="J25" s="111">
        <v>0</v>
      </c>
      <c r="K25" s="111" t="s">
        <v>90</v>
      </c>
      <c r="M25" s="111"/>
      <c r="N25" s="117" t="s">
        <v>103</v>
      </c>
      <c r="O25" s="111">
        <v>700</v>
      </c>
      <c r="P25" s="111">
        <v>700</v>
      </c>
      <c r="Q25" s="111">
        <v>600</v>
      </c>
      <c r="R25" s="111">
        <v>500</v>
      </c>
      <c r="S25" s="111">
        <v>500</v>
      </c>
      <c r="T25" s="111">
        <v>500</v>
      </c>
      <c r="U25" s="118">
        <v>600</v>
      </c>
      <c r="V25" s="112"/>
      <c r="W25" s="122"/>
      <c r="AA25" s="3"/>
      <c r="AB25" s="3"/>
      <c r="AC25" s="3"/>
      <c r="AD25" s="3"/>
      <c r="AE25" s="3"/>
      <c r="AF25" s="3"/>
      <c r="AG25" s="3"/>
      <c r="AH25" s="3"/>
      <c r="AI25" s="3"/>
      <c r="AJ25" s="3"/>
    </row>
    <row r="26" spans="2:36" ht="15.75">
      <c r="B26" s="111"/>
      <c r="C26" s="111"/>
      <c r="D26" s="111"/>
      <c r="E26" s="111"/>
      <c r="F26" s="111"/>
      <c r="G26" s="111"/>
      <c r="H26" s="111"/>
      <c r="I26" s="111"/>
      <c r="J26" s="111"/>
      <c r="K26" s="111"/>
      <c r="M26" s="111"/>
      <c r="N26" s="117" t="s">
        <v>209</v>
      </c>
      <c r="O26" s="111">
        <v>770</v>
      </c>
      <c r="P26" s="111">
        <v>770</v>
      </c>
      <c r="Q26" s="111">
        <v>660</v>
      </c>
      <c r="R26" s="111">
        <v>550</v>
      </c>
      <c r="S26" s="111">
        <v>550</v>
      </c>
      <c r="T26" s="111">
        <v>550</v>
      </c>
      <c r="U26" s="118">
        <v>660</v>
      </c>
      <c r="V26" s="112"/>
      <c r="W26" s="122"/>
      <c r="AA26" s="3"/>
      <c r="AB26" s="3"/>
      <c r="AC26" s="3"/>
      <c r="AD26" s="3"/>
      <c r="AE26" s="3"/>
      <c r="AF26" s="3"/>
      <c r="AG26" s="3"/>
      <c r="AH26" s="3"/>
      <c r="AI26" s="3"/>
      <c r="AJ26" s="3"/>
    </row>
    <row r="27" spans="2:36" ht="15.75">
      <c r="B27" s="110" t="s">
        <v>155</v>
      </c>
      <c r="C27" s="111" t="s">
        <v>32</v>
      </c>
      <c r="D27" s="111">
        <f>'Data input'!D10</f>
        <v>950</v>
      </c>
      <c r="E27" s="111">
        <f>'Data input'!E10</f>
        <v>430</v>
      </c>
      <c r="F27" s="111">
        <f>'Data input'!F10</f>
        <v>280</v>
      </c>
      <c r="G27" s="111">
        <f>'Data input'!G10</f>
        <v>400</v>
      </c>
      <c r="H27" s="111">
        <f>'Data input'!H10</f>
        <v>455</v>
      </c>
      <c r="I27" s="111">
        <f>'Data input'!I10</f>
        <v>280</v>
      </c>
      <c r="J27" s="111">
        <f>'Data input'!J10</f>
        <v>430</v>
      </c>
      <c r="K27" s="111" t="str">
        <f>'Data input'!K10</f>
        <v>kg/head</v>
      </c>
      <c r="M27" s="111"/>
      <c r="N27" s="117" t="s">
        <v>210</v>
      </c>
      <c r="O27" s="111">
        <v>770</v>
      </c>
      <c r="P27" s="111">
        <v>770</v>
      </c>
      <c r="Q27" s="111">
        <v>660</v>
      </c>
      <c r="R27" s="111">
        <v>550</v>
      </c>
      <c r="S27" s="111">
        <v>550</v>
      </c>
      <c r="T27" s="111">
        <v>550</v>
      </c>
      <c r="U27" s="118">
        <v>660</v>
      </c>
      <c r="V27" s="112"/>
      <c r="W27" s="122"/>
      <c r="AA27" s="3"/>
      <c r="AB27" s="3"/>
      <c r="AC27" s="3"/>
      <c r="AD27" s="3"/>
      <c r="AE27" s="3"/>
      <c r="AF27" s="3"/>
      <c r="AG27" s="3"/>
      <c r="AH27" s="3"/>
      <c r="AI27" s="3"/>
      <c r="AJ27" s="3"/>
    </row>
    <row r="28" spans="2:36" ht="15.75">
      <c r="B28" s="111"/>
      <c r="C28" s="111" t="s">
        <v>33</v>
      </c>
      <c r="D28" s="111">
        <f>'Data input'!D11</f>
        <v>950</v>
      </c>
      <c r="E28" s="111">
        <f>'Data input'!E11</f>
        <v>480</v>
      </c>
      <c r="F28" s="111">
        <f>'Data input'!F11</f>
        <v>100</v>
      </c>
      <c r="G28" s="111">
        <f>'Data input'!G11</f>
        <v>320</v>
      </c>
      <c r="H28" s="111">
        <f>'Data input'!H11</f>
        <v>475</v>
      </c>
      <c r="I28" s="111">
        <f>'Data input'!I11</f>
        <v>100</v>
      </c>
      <c r="J28" s="111">
        <f>'Data input'!J11</f>
        <v>300</v>
      </c>
      <c r="K28" s="111" t="str">
        <f>'Data input'!K11</f>
        <v>kg/head</v>
      </c>
      <c r="M28" s="111"/>
      <c r="N28" s="117" t="s">
        <v>106</v>
      </c>
      <c r="O28" s="111">
        <v>770</v>
      </c>
      <c r="P28" s="111">
        <v>770</v>
      </c>
      <c r="Q28" s="111">
        <v>660</v>
      </c>
      <c r="R28" s="111">
        <v>550</v>
      </c>
      <c r="S28" s="111">
        <v>550</v>
      </c>
      <c r="T28" s="111">
        <v>550</v>
      </c>
      <c r="U28" s="118">
        <v>660</v>
      </c>
      <c r="V28" s="112"/>
      <c r="W28" s="122"/>
      <c r="AA28" s="3"/>
      <c r="AB28" s="3"/>
      <c r="AC28" s="3"/>
      <c r="AD28" s="3"/>
      <c r="AE28" s="3"/>
      <c r="AF28" s="3"/>
      <c r="AG28" s="3"/>
      <c r="AH28" s="3"/>
      <c r="AI28" s="3"/>
      <c r="AJ28" s="3"/>
    </row>
    <row r="29" spans="2:36" ht="15.75">
      <c r="B29" s="111"/>
      <c r="C29" s="111" t="s">
        <v>34</v>
      </c>
      <c r="D29" s="111">
        <f>'Data input'!D12</f>
        <v>950</v>
      </c>
      <c r="E29" s="111">
        <f>'Data input'!E12</f>
        <v>500</v>
      </c>
      <c r="F29" s="111">
        <f>'Data input'!F12</f>
        <v>190</v>
      </c>
      <c r="G29" s="111">
        <f>'Data input'!G12</f>
        <v>360</v>
      </c>
      <c r="H29" s="111">
        <f>'Data input'!H12</f>
        <v>495</v>
      </c>
      <c r="I29" s="111">
        <f>'Data input'!I12</f>
        <v>190</v>
      </c>
      <c r="J29" s="111">
        <f>'Data input'!J12</f>
        <v>350</v>
      </c>
      <c r="K29" s="111" t="str">
        <f>'Data input'!K12</f>
        <v>kg/head</v>
      </c>
      <c r="M29" s="111"/>
      <c r="N29" s="117" t="s">
        <v>211</v>
      </c>
      <c r="O29" s="111">
        <v>770</v>
      </c>
      <c r="P29" s="111">
        <v>770</v>
      </c>
      <c r="Q29" s="111">
        <v>660</v>
      </c>
      <c r="R29" s="111">
        <v>550</v>
      </c>
      <c r="S29" s="111">
        <v>550</v>
      </c>
      <c r="T29" s="111">
        <v>550</v>
      </c>
      <c r="U29" s="118">
        <v>660</v>
      </c>
      <c r="V29" s="112"/>
      <c r="W29" s="122"/>
      <c r="AA29" s="3"/>
      <c r="AB29" s="3"/>
      <c r="AC29" s="3"/>
      <c r="AD29" s="3"/>
      <c r="AE29" s="3"/>
      <c r="AF29" s="3"/>
      <c r="AG29" s="3"/>
      <c r="AH29" s="3"/>
      <c r="AI29" s="3"/>
      <c r="AJ29" s="3"/>
    </row>
    <row r="30" spans="2:36" ht="15.75">
      <c r="B30" s="111"/>
      <c r="C30" s="111" t="s">
        <v>35</v>
      </c>
      <c r="D30" s="111">
        <f>'Data input'!D13</f>
        <v>950</v>
      </c>
      <c r="E30" s="111">
        <f>'Data input'!E13</f>
        <v>500</v>
      </c>
      <c r="F30" s="111">
        <f>'Data input'!F13</f>
        <v>230</v>
      </c>
      <c r="G30" s="111">
        <f>'Data input'!G13</f>
        <v>380</v>
      </c>
      <c r="H30" s="111">
        <f>'Data input'!H13</f>
        <v>475</v>
      </c>
      <c r="I30" s="111">
        <f>'Data input'!I13</f>
        <v>260</v>
      </c>
      <c r="J30" s="111">
        <f>'Data input'!J13</f>
        <v>400</v>
      </c>
      <c r="K30" s="111" t="str">
        <f>'Data input'!K13</f>
        <v>kg/head</v>
      </c>
      <c r="M30" s="111"/>
      <c r="N30" s="117" t="s">
        <v>212</v>
      </c>
      <c r="O30" s="111">
        <v>770</v>
      </c>
      <c r="P30" s="111">
        <v>770</v>
      </c>
      <c r="Q30" s="111">
        <v>660</v>
      </c>
      <c r="R30" s="111">
        <v>550</v>
      </c>
      <c r="S30" s="111">
        <v>550</v>
      </c>
      <c r="T30" s="111">
        <v>550</v>
      </c>
      <c r="U30" s="118">
        <v>660</v>
      </c>
      <c r="V30" s="112"/>
      <c r="W30" s="122"/>
      <c r="AA30" s="3"/>
      <c r="AB30" s="3"/>
      <c r="AC30" s="3"/>
      <c r="AD30" s="3"/>
      <c r="AE30" s="3"/>
      <c r="AF30" s="3"/>
      <c r="AG30" s="3"/>
      <c r="AH30" s="3"/>
      <c r="AI30" s="3"/>
      <c r="AJ30" s="3"/>
    </row>
    <row r="31" spans="2:36" ht="15.75">
      <c r="B31" s="111"/>
      <c r="C31" s="111"/>
      <c r="D31" s="111"/>
      <c r="E31" s="111"/>
      <c r="F31" s="111"/>
      <c r="G31" s="111"/>
      <c r="H31" s="111"/>
      <c r="I31" s="111"/>
      <c r="J31" s="111"/>
      <c r="K31" s="111"/>
      <c r="M31" s="111"/>
      <c r="N31" s="117" t="s">
        <v>110</v>
      </c>
      <c r="O31" s="111">
        <v>770</v>
      </c>
      <c r="P31" s="111">
        <v>770</v>
      </c>
      <c r="Q31" s="111">
        <v>660</v>
      </c>
      <c r="R31" s="111">
        <v>550</v>
      </c>
      <c r="S31" s="111">
        <v>550</v>
      </c>
      <c r="T31" s="111">
        <v>550</v>
      </c>
      <c r="U31" s="118">
        <v>660</v>
      </c>
      <c r="V31" s="112"/>
      <c r="W31" s="122"/>
      <c r="AA31" s="3"/>
      <c r="AB31" s="3"/>
      <c r="AC31" s="3"/>
      <c r="AD31" s="3"/>
      <c r="AE31" s="3"/>
      <c r="AF31" s="3"/>
      <c r="AG31" s="3"/>
      <c r="AH31" s="3"/>
      <c r="AI31" s="3"/>
      <c r="AJ31" s="3"/>
    </row>
    <row r="32" spans="2:36" ht="15.75">
      <c r="B32" s="110" t="s">
        <v>421</v>
      </c>
      <c r="C32" s="111" t="s">
        <v>32</v>
      </c>
      <c r="D32" s="111">
        <f>'Data input'!D16</f>
        <v>0</v>
      </c>
      <c r="E32" s="111">
        <f>'Data input'!E16</f>
        <v>0.8351648351648352</v>
      </c>
      <c r="F32" s="111">
        <f>'Data input'!F16</f>
        <v>0.5494505494505495</v>
      </c>
      <c r="G32" s="111">
        <f>'Data input'!G16</f>
        <v>0.21978021978021978</v>
      </c>
      <c r="H32" s="111">
        <f>'Data input'!H16</f>
        <v>-0.21978021978021978</v>
      </c>
      <c r="I32" s="111">
        <f>'Data input'!I16</f>
        <v>0.21978021978021978</v>
      </c>
      <c r="J32" s="111">
        <f>'Data input'!J16</f>
        <v>0.32967032967032966</v>
      </c>
      <c r="K32" s="111" t="str">
        <f>'Data input'!K16</f>
        <v>kg/day</v>
      </c>
      <c r="M32" s="111"/>
      <c r="N32" s="115">
        <f>IF('Data input'!O8&gt;7,7,'Data input'!O8)</f>
        <v>6</v>
      </c>
      <c r="O32" s="107">
        <f>INDEX(O25:O31,$N$32)</f>
        <v>770</v>
      </c>
      <c r="P32" s="107">
        <f aca="true" t="shared" si="4" ref="P32:U32">INDEX(P25:P31,$N$32)</f>
        <v>770</v>
      </c>
      <c r="Q32" s="107">
        <f t="shared" si="4"/>
        <v>660</v>
      </c>
      <c r="R32" s="107">
        <f t="shared" si="4"/>
        <v>550</v>
      </c>
      <c r="S32" s="107">
        <f t="shared" si="4"/>
        <v>550</v>
      </c>
      <c r="T32" s="107">
        <f t="shared" si="4"/>
        <v>550</v>
      </c>
      <c r="U32" s="107">
        <f t="shared" si="4"/>
        <v>660</v>
      </c>
      <c r="V32" s="112"/>
      <c r="W32" s="122"/>
      <c r="AA32" s="3"/>
      <c r="AB32" s="3"/>
      <c r="AC32" s="3"/>
      <c r="AD32" s="3"/>
      <c r="AE32" s="3"/>
      <c r="AF32" s="3"/>
      <c r="AG32" s="3"/>
      <c r="AH32" s="3"/>
      <c r="AI32" s="3"/>
      <c r="AJ32" s="3"/>
    </row>
    <row r="33" spans="2:23" ht="15.75">
      <c r="B33" s="111"/>
      <c r="C33" s="111" t="s">
        <v>33</v>
      </c>
      <c r="D33" s="111">
        <f>'Data input'!D17</f>
        <v>0</v>
      </c>
      <c r="E33" s="111">
        <f>'Data input'!E17</f>
        <v>0.5494505494505495</v>
      </c>
      <c r="F33" s="111">
        <f>'Data input'!F17</f>
        <v>0.6593406593406593</v>
      </c>
      <c r="G33" s="111">
        <f>'Data input'!G17</f>
        <v>0.43956043956043955</v>
      </c>
      <c r="H33" s="111">
        <f>'Data input'!H17</f>
        <v>0.21978021978021978</v>
      </c>
      <c r="I33" s="111">
        <f>'Data input'!I17</f>
        <v>0.6593406593406593</v>
      </c>
      <c r="J33" s="111">
        <f>'Data input'!J17</f>
        <v>0.21978021978021978</v>
      </c>
      <c r="K33" s="111" t="str">
        <f>'Data input'!K17</f>
        <v>kg/day</v>
      </c>
      <c r="M33" s="111"/>
      <c r="N33" s="111"/>
      <c r="O33" s="111"/>
      <c r="P33" s="111"/>
      <c r="Q33" s="111"/>
      <c r="R33" s="111"/>
      <c r="S33" s="111"/>
      <c r="T33" s="111"/>
      <c r="U33" s="111"/>
      <c r="V33" s="112"/>
      <c r="W33" s="122"/>
    </row>
    <row r="34" spans="2:23" ht="15.75">
      <c r="B34" s="111"/>
      <c r="C34" s="111" t="s">
        <v>34</v>
      </c>
      <c r="D34" s="111">
        <f>'Data input'!D18</f>
        <v>0</v>
      </c>
      <c r="E34" s="111">
        <f>'Data input'!E18</f>
        <v>0.6666666666666666</v>
      </c>
      <c r="F34" s="111">
        <f>'Data input'!F18</f>
        <v>0.989010989010989</v>
      </c>
      <c r="G34" s="111">
        <f>'Data input'!G18</f>
        <v>0.43956043956043955</v>
      </c>
      <c r="H34" s="111">
        <f>'Data input'!H18</f>
        <v>0.21978021978021978</v>
      </c>
      <c r="I34" s="111">
        <f>'Data input'!I18</f>
        <v>0.989010989010989</v>
      </c>
      <c r="J34" s="111">
        <f>'Data input'!J18</f>
        <v>0.5494505494505495</v>
      </c>
      <c r="K34" s="111" t="str">
        <f>'Data input'!K18</f>
        <v>kg/day</v>
      </c>
      <c r="M34" s="110" t="s">
        <v>216</v>
      </c>
      <c r="N34" s="111"/>
      <c r="O34" s="110" t="s">
        <v>218</v>
      </c>
      <c r="P34" s="111"/>
      <c r="Q34" s="111"/>
      <c r="R34" s="111"/>
      <c r="S34" s="111"/>
      <c r="T34" s="111"/>
      <c r="U34" s="111"/>
      <c r="V34" s="111"/>
      <c r="W34" s="122" t="s">
        <v>217</v>
      </c>
    </row>
    <row r="35" spans="2:23" ht="15.75">
      <c r="B35" s="111"/>
      <c r="C35" s="111" t="s">
        <v>35</v>
      </c>
      <c r="D35" s="111">
        <f>'Data input'!D19</f>
        <v>0</v>
      </c>
      <c r="E35" s="111">
        <f>'Data input'!E19</f>
        <v>0</v>
      </c>
      <c r="F35" s="111">
        <f>'Data input'!F19</f>
        <v>0.43956043956043955</v>
      </c>
      <c r="G35" s="111">
        <f>'Data input'!G19</f>
        <v>0.21978021978021978</v>
      </c>
      <c r="H35" s="111">
        <f>'Data input'!H19</f>
        <v>-0.21978021978021978</v>
      </c>
      <c r="I35" s="111">
        <f>'Data input'!I19</f>
        <v>0.7692307692307693</v>
      </c>
      <c r="J35" s="111">
        <f>'Data input'!J19</f>
        <v>0.5494505494505495</v>
      </c>
      <c r="K35" s="111" t="str">
        <f>'Data input'!K19</f>
        <v>kg/day</v>
      </c>
      <c r="M35" s="111"/>
      <c r="N35" s="111" t="s">
        <v>32</v>
      </c>
      <c r="O35" s="119">
        <f>(O6/6.25)-O18-O12-((1.1*10^-4*(D27^0.75))/6.25)</f>
        <v>0.019496137313205656</v>
      </c>
      <c r="P35" s="119">
        <f aca="true" t="shared" si="5" ref="P35:U35">(P6/6.25)-P18-P12-((1.1*10^-4*(E27^0.75))/6.25)</f>
        <v>0.0037882323422805883</v>
      </c>
      <c r="Q35" s="119">
        <f t="shared" si="5"/>
        <v>0.00080081148962614</v>
      </c>
      <c r="R35" s="119">
        <f t="shared" si="5"/>
        <v>0.011474182018944389</v>
      </c>
      <c r="S35" s="119">
        <f t="shared" si="5"/>
        <v>0.0033965571934200783</v>
      </c>
      <c r="T35" s="119">
        <f t="shared" si="5"/>
        <v>0.007048480869732053</v>
      </c>
      <c r="U35" s="119">
        <f t="shared" si="5"/>
        <v>0.010816045872677114</v>
      </c>
      <c r="V35" s="112" t="s">
        <v>90</v>
      </c>
      <c r="W35" s="122"/>
    </row>
    <row r="36" spans="2:23" ht="15.75">
      <c r="B36" s="111"/>
      <c r="C36" s="111"/>
      <c r="D36" s="111"/>
      <c r="E36" s="111"/>
      <c r="F36" s="111"/>
      <c r="G36" s="111"/>
      <c r="H36" s="111"/>
      <c r="I36" s="111"/>
      <c r="J36" s="111"/>
      <c r="K36" s="111"/>
      <c r="M36" s="111"/>
      <c r="N36" s="111" t="s">
        <v>33</v>
      </c>
      <c r="O36" s="119">
        <f>(O7/6.25)-O19-O13-((1.1*10^-4*(D28^0.75))/6.25)</f>
        <v>0.11920040298490991</v>
      </c>
      <c r="P36" s="119">
        <f aca="true" t="shared" si="6" ref="P36:U38">(P7/6.25)-P19-P13-((1.1*10^-4*(E28^0.75))/6.25)</f>
        <v>0.09613720487531878</v>
      </c>
      <c r="Q36" s="119">
        <f t="shared" si="6"/>
        <v>0.03844750963370308</v>
      </c>
      <c r="R36" s="119">
        <f t="shared" si="6"/>
        <v>0.06914119221709517</v>
      </c>
      <c r="S36" s="119">
        <f t="shared" si="6"/>
        <v>0.08902759094711363</v>
      </c>
      <c r="T36" s="119">
        <f t="shared" si="6"/>
        <v>0.038855827091463006</v>
      </c>
      <c r="U36" s="119">
        <f t="shared" si="6"/>
        <v>0.06423366460489383</v>
      </c>
      <c r="V36" s="112" t="s">
        <v>90</v>
      </c>
      <c r="W36" s="122"/>
    </row>
    <row r="37" spans="2:23" ht="15.75">
      <c r="B37" s="110" t="s">
        <v>214</v>
      </c>
      <c r="C37" s="111" t="s">
        <v>32</v>
      </c>
      <c r="D37" s="119">
        <f>D27/O$32</f>
        <v>1.2337662337662338</v>
      </c>
      <c r="E37" s="119">
        <f aca="true" t="shared" si="7" ref="E37:J37">E27/P$32</f>
        <v>0.5584415584415584</v>
      </c>
      <c r="F37" s="119">
        <f t="shared" si="7"/>
        <v>0.42424242424242425</v>
      </c>
      <c r="G37" s="119">
        <f t="shared" si="7"/>
        <v>0.7272727272727273</v>
      </c>
      <c r="H37" s="119">
        <f t="shared" si="7"/>
        <v>0.8272727272727273</v>
      </c>
      <c r="I37" s="119">
        <f t="shared" si="7"/>
        <v>0.509090909090909</v>
      </c>
      <c r="J37" s="119">
        <f t="shared" si="7"/>
        <v>0.6515151515151515</v>
      </c>
      <c r="K37" s="111"/>
      <c r="M37" s="111"/>
      <c r="N37" s="111" t="s">
        <v>34</v>
      </c>
      <c r="O37" s="119">
        <f>(O8/6.25)-O20-O14-((1.1*10^-4*(D29^0.75))/6.25)</f>
        <v>0.06176067815572084</v>
      </c>
      <c r="P37" s="119">
        <f t="shared" si="6"/>
        <v>0.04772071076305749</v>
      </c>
      <c r="Q37" s="119">
        <f t="shared" si="6"/>
        <v>0.024650756736245717</v>
      </c>
      <c r="R37" s="119">
        <f t="shared" si="6"/>
        <v>0.036986820534274746</v>
      </c>
      <c r="S37" s="119">
        <f t="shared" si="6"/>
        <v>0.04910811409113503</v>
      </c>
      <c r="T37" s="119">
        <f t="shared" si="6"/>
        <v>0.026363893595772892</v>
      </c>
      <c r="U37" s="119">
        <f t="shared" si="6"/>
        <v>0.03408494717924437</v>
      </c>
      <c r="V37" s="112" t="s">
        <v>90</v>
      </c>
      <c r="W37" s="122"/>
    </row>
    <row r="38" spans="2:23" ht="15.75">
      <c r="B38" s="111"/>
      <c r="C38" s="111" t="s">
        <v>33</v>
      </c>
      <c r="D38" s="119">
        <f>D28/O$32</f>
        <v>1.2337662337662338</v>
      </c>
      <c r="E38" s="119">
        <f aca="true" t="shared" si="8" ref="E38:J40">E28/P$32</f>
        <v>0.6233766233766234</v>
      </c>
      <c r="F38" s="119">
        <f t="shared" si="8"/>
        <v>0.15151515151515152</v>
      </c>
      <c r="G38" s="119">
        <f t="shared" si="8"/>
        <v>0.5818181818181818</v>
      </c>
      <c r="H38" s="119">
        <f t="shared" si="8"/>
        <v>0.8636363636363636</v>
      </c>
      <c r="I38" s="119">
        <f t="shared" si="8"/>
        <v>0.18181818181818182</v>
      </c>
      <c r="J38" s="119">
        <f t="shared" si="8"/>
        <v>0.45454545454545453</v>
      </c>
      <c r="K38" s="111"/>
      <c r="M38" s="111"/>
      <c r="N38" s="111" t="s">
        <v>35</v>
      </c>
      <c r="O38" s="119">
        <f>(O9/6.25)-O21-O15-((1.1*10^-4*(D30^0.75))/6.25)</f>
        <v>0.04047367904219476</v>
      </c>
      <c r="P38" s="119">
        <f t="shared" si="6"/>
        <v>0.03258781318524061</v>
      </c>
      <c r="Q38" s="119">
        <f t="shared" si="6"/>
        <v>0.01059590492944472</v>
      </c>
      <c r="R38" s="119">
        <f t="shared" si="6"/>
        <v>0.025134841999404887</v>
      </c>
      <c r="S38" s="119">
        <f t="shared" si="6"/>
        <v>0.03239803280659426</v>
      </c>
      <c r="T38" s="119">
        <f t="shared" si="6"/>
        <v>0.010106539439895047</v>
      </c>
      <c r="U38" s="119">
        <f t="shared" si="6"/>
        <v>0.023234440045201657</v>
      </c>
      <c r="V38" s="112" t="s">
        <v>90</v>
      </c>
      <c r="W38" s="122"/>
    </row>
    <row r="39" spans="2:23" ht="15.75">
      <c r="B39" s="111"/>
      <c r="C39" s="111" t="s">
        <v>34</v>
      </c>
      <c r="D39" s="119">
        <f>D29/O$32</f>
        <v>1.2337662337662338</v>
      </c>
      <c r="E39" s="119">
        <f t="shared" si="8"/>
        <v>0.6493506493506493</v>
      </c>
      <c r="F39" s="119">
        <f t="shared" si="8"/>
        <v>0.2878787878787879</v>
      </c>
      <c r="G39" s="119">
        <f t="shared" si="8"/>
        <v>0.6545454545454545</v>
      </c>
      <c r="H39" s="119">
        <f t="shared" si="8"/>
        <v>0.9</v>
      </c>
      <c r="I39" s="119">
        <f t="shared" si="8"/>
        <v>0.34545454545454546</v>
      </c>
      <c r="J39" s="119">
        <f t="shared" si="8"/>
        <v>0.5303030303030303</v>
      </c>
      <c r="K39" s="111"/>
      <c r="M39" s="111"/>
      <c r="N39" s="111"/>
      <c r="O39" s="111"/>
      <c r="P39" s="111"/>
      <c r="Q39" s="111"/>
      <c r="R39" s="111"/>
      <c r="S39" s="111"/>
      <c r="T39" s="111"/>
      <c r="U39" s="111"/>
      <c r="V39" s="112"/>
      <c r="W39" s="122"/>
    </row>
    <row r="40" spans="2:23" ht="15.75">
      <c r="B40" s="111"/>
      <c r="C40" s="111" t="s">
        <v>35</v>
      </c>
      <c r="D40" s="119">
        <f>D30/O$32</f>
        <v>1.2337662337662338</v>
      </c>
      <c r="E40" s="119">
        <f t="shared" si="8"/>
        <v>0.6493506493506493</v>
      </c>
      <c r="F40" s="119">
        <f t="shared" si="8"/>
        <v>0.3484848484848485</v>
      </c>
      <c r="G40" s="119">
        <f t="shared" si="8"/>
        <v>0.6909090909090909</v>
      </c>
      <c r="H40" s="119">
        <f t="shared" si="8"/>
        <v>0.8636363636363636</v>
      </c>
      <c r="I40" s="119">
        <f t="shared" si="8"/>
        <v>0.4727272727272727</v>
      </c>
      <c r="J40" s="119">
        <f t="shared" si="8"/>
        <v>0.6060606060606061</v>
      </c>
      <c r="K40" s="111"/>
      <c r="M40" s="110" t="s">
        <v>219</v>
      </c>
      <c r="N40" s="111"/>
      <c r="O40" s="110" t="s">
        <v>220</v>
      </c>
      <c r="P40" s="111"/>
      <c r="Q40" s="111"/>
      <c r="R40" s="111"/>
      <c r="S40" s="111"/>
      <c r="T40" s="111"/>
      <c r="U40" s="111"/>
      <c r="V40" s="112"/>
      <c r="W40" s="122" t="s">
        <v>234</v>
      </c>
    </row>
    <row r="41" spans="2:23" ht="15.75">
      <c r="B41" s="111"/>
      <c r="C41" s="111"/>
      <c r="D41" s="111"/>
      <c r="E41" s="111"/>
      <c r="F41" s="111"/>
      <c r="G41" s="111"/>
      <c r="H41" s="111"/>
      <c r="I41" s="111"/>
      <c r="J41" s="111"/>
      <c r="K41" s="111"/>
      <c r="M41" s="111"/>
      <c r="N41" s="111" t="s">
        <v>32</v>
      </c>
      <c r="O41" s="146">
        <f>(91.25*D42*O12)*10^-6</f>
        <v>7.492847938490609E-05</v>
      </c>
      <c r="P41" s="146">
        <f aca="true" t="shared" si="9" ref="P41:U41">(91.25*E42*P12)*10^-6</f>
        <v>0</v>
      </c>
      <c r="Q41" s="146">
        <f t="shared" si="9"/>
        <v>0.0008321345180369544</v>
      </c>
      <c r="R41" s="146">
        <f t="shared" si="9"/>
        <v>0.0006749838408510418</v>
      </c>
      <c r="S41" s="146">
        <f t="shared" si="9"/>
        <v>0.0022523432676070628</v>
      </c>
      <c r="T41" s="146">
        <f t="shared" si="9"/>
        <v>0.0007624035411276066</v>
      </c>
      <c r="U41" s="146">
        <f t="shared" si="9"/>
        <v>0.00011208859224024858</v>
      </c>
      <c r="V41" s="112" t="s">
        <v>225</v>
      </c>
      <c r="W41" s="122"/>
    </row>
    <row r="42" spans="2:23" ht="15.75">
      <c r="B42" s="110" t="s">
        <v>432</v>
      </c>
      <c r="C42" s="111" t="s">
        <v>32</v>
      </c>
      <c r="D42" s="111">
        <f>'Data input'!D4</f>
        <v>20</v>
      </c>
      <c r="E42" s="111">
        <f>'Data input'!E4</f>
        <v>0</v>
      </c>
      <c r="F42" s="111">
        <f>'Data input'!F4</f>
        <v>375</v>
      </c>
      <c r="G42" s="111">
        <f>'Data input'!G4</f>
        <v>254</v>
      </c>
      <c r="H42" s="111">
        <f>'Data input'!H4</f>
        <v>681</v>
      </c>
      <c r="I42" s="111">
        <f>'Data input'!I4</f>
        <v>375</v>
      </c>
      <c r="J42" s="111">
        <f>'Data input'!J4</f>
        <v>39</v>
      </c>
      <c r="K42" s="111" t="str">
        <f>'Data input'!K4</f>
        <v>head</v>
      </c>
      <c r="M42" s="111"/>
      <c r="N42" s="111" t="s">
        <v>33</v>
      </c>
      <c r="O42" s="146">
        <f>(91.25*D43*O13)*10^-6</f>
        <v>9.59772985240457E-05</v>
      </c>
      <c r="P42" s="146">
        <f aca="true" t="shared" si="10" ref="P42:U44">(91.25*E43*P13)*10^-6</f>
        <v>0.0001626829855743109</v>
      </c>
      <c r="Q42" s="146">
        <f t="shared" si="10"/>
        <v>0</v>
      </c>
      <c r="R42" s="146">
        <f t="shared" si="10"/>
        <v>0.001044126021910681</v>
      </c>
      <c r="S42" s="146">
        <f t="shared" si="10"/>
        <v>0.00403898912374545</v>
      </c>
      <c r="T42" s="146">
        <f t="shared" si="10"/>
        <v>0</v>
      </c>
      <c r="U42" s="146">
        <f t="shared" si="10"/>
        <v>0.0009706771908518561</v>
      </c>
      <c r="V42" s="112" t="s">
        <v>225</v>
      </c>
      <c r="W42" s="122"/>
    </row>
    <row r="43" spans="2:23" ht="15.75">
      <c r="B43" s="111"/>
      <c r="C43" s="111" t="s">
        <v>33</v>
      </c>
      <c r="D43" s="111">
        <f>'Data input'!D5</f>
        <v>20</v>
      </c>
      <c r="E43" s="111">
        <f>'Data input'!E5</f>
        <v>39</v>
      </c>
      <c r="F43" s="111">
        <f>'Data input'!F5</f>
        <v>0</v>
      </c>
      <c r="G43" s="111">
        <f>'Data input'!G5</f>
        <v>343</v>
      </c>
      <c r="H43" s="111">
        <f>'Data input'!H5</f>
        <v>966</v>
      </c>
      <c r="I43" s="111">
        <f>'Data input'!I5</f>
        <v>0</v>
      </c>
      <c r="J43" s="111">
        <f>'Data input'!J5</f>
        <v>354</v>
      </c>
      <c r="K43" s="111" t="str">
        <f>'Data input'!K5</f>
        <v>head</v>
      </c>
      <c r="M43" s="111"/>
      <c r="N43" s="111" t="s">
        <v>34</v>
      </c>
      <c r="O43" s="146">
        <f>(91.25*D44*O14)*10^-6</f>
        <v>8.479959405731584E-05</v>
      </c>
      <c r="P43" s="146">
        <f t="shared" si="10"/>
        <v>0</v>
      </c>
      <c r="Q43" s="146">
        <f t="shared" si="10"/>
        <v>0.0009553453207968675</v>
      </c>
      <c r="R43" s="146">
        <f t="shared" si="10"/>
        <v>0.001005830234929809</v>
      </c>
      <c r="S43" s="146">
        <f t="shared" si="10"/>
        <v>0.0032725691477496215</v>
      </c>
      <c r="T43" s="146">
        <f t="shared" si="10"/>
        <v>0.0009553453207968675</v>
      </c>
      <c r="U43" s="146">
        <f t="shared" si="10"/>
        <v>0.0010441762197692208</v>
      </c>
      <c r="V43" s="112" t="s">
        <v>225</v>
      </c>
      <c r="W43" s="122"/>
    </row>
    <row r="44" spans="2:23" ht="15.75">
      <c r="B44" s="111"/>
      <c r="C44" s="111" t="s">
        <v>34</v>
      </c>
      <c r="D44" s="111">
        <f>'Data input'!D6</f>
        <v>20</v>
      </c>
      <c r="E44" s="111">
        <f>'Data input'!E6</f>
        <v>0</v>
      </c>
      <c r="F44" s="111">
        <f>'Data input'!F6</f>
        <v>375</v>
      </c>
      <c r="G44" s="111">
        <f>'Data input'!G6</f>
        <v>343</v>
      </c>
      <c r="H44" s="111">
        <f>'Data input'!H6</f>
        <v>934.27</v>
      </c>
      <c r="I44" s="111">
        <f>'Data input'!I6</f>
        <v>375</v>
      </c>
      <c r="J44" s="111">
        <f>'Data input'!J6</f>
        <v>354</v>
      </c>
      <c r="K44" s="111" t="str">
        <f>'Data input'!K6</f>
        <v>head</v>
      </c>
      <c r="M44" s="111"/>
      <c r="N44" s="111" t="s">
        <v>35</v>
      </c>
      <c r="O44" s="146">
        <f>(91.25*D45*O15)*10^-6</f>
        <v>8.014641658450095E-05</v>
      </c>
      <c r="P44" s="146">
        <f t="shared" si="10"/>
        <v>0</v>
      </c>
      <c r="Q44" s="146">
        <f t="shared" si="10"/>
        <v>0.0007525022846845736</v>
      </c>
      <c r="R44" s="146">
        <f t="shared" si="10"/>
        <v>0.0009384097073455928</v>
      </c>
      <c r="S44" s="146">
        <f t="shared" si="10"/>
        <v>0.002258282004492127</v>
      </c>
      <c r="T44" s="146">
        <f t="shared" si="10"/>
        <v>0.0008948684938353167</v>
      </c>
      <c r="U44" s="146">
        <f t="shared" si="10"/>
        <v>0.0010865144384626655</v>
      </c>
      <c r="V44" s="112" t="s">
        <v>225</v>
      </c>
      <c r="W44" s="122"/>
    </row>
    <row r="45" spans="2:23" ht="15.75">
      <c r="B45" s="111"/>
      <c r="C45" s="111" t="s">
        <v>35</v>
      </c>
      <c r="D45" s="111">
        <f>'Data input'!D7</f>
        <v>20</v>
      </c>
      <c r="E45" s="111">
        <f>'Data input'!E7</f>
        <v>0</v>
      </c>
      <c r="F45" s="111">
        <f>'Data input'!F7</f>
        <v>375</v>
      </c>
      <c r="G45" s="111">
        <f>'Data input'!G7</f>
        <v>343</v>
      </c>
      <c r="H45" s="111">
        <f>'Data input'!H7</f>
        <v>776</v>
      </c>
      <c r="I45" s="111">
        <f>'Data input'!I7</f>
        <v>375</v>
      </c>
      <c r="J45" s="111">
        <f>'Data input'!J7</f>
        <v>354</v>
      </c>
      <c r="K45" s="111" t="str">
        <f>'Data input'!K7</f>
        <v>head</v>
      </c>
      <c r="M45" s="111"/>
      <c r="N45" s="111"/>
      <c r="O45" s="111"/>
      <c r="P45" s="111"/>
      <c r="Q45" s="111"/>
      <c r="R45" s="111"/>
      <c r="S45" s="111"/>
      <c r="T45" s="111"/>
      <c r="U45" s="111"/>
      <c r="V45" s="112"/>
      <c r="W45" s="122"/>
    </row>
    <row r="46" spans="2:23" ht="15.75">
      <c r="B46" s="111"/>
      <c r="C46" s="111"/>
      <c r="D46" s="111"/>
      <c r="E46" s="111"/>
      <c r="F46" s="111"/>
      <c r="G46" s="111"/>
      <c r="H46" s="111"/>
      <c r="I46" s="111"/>
      <c r="J46" s="111"/>
      <c r="K46" s="111"/>
      <c r="M46" s="110" t="s">
        <v>221</v>
      </c>
      <c r="N46" s="111"/>
      <c r="O46" s="110" t="s">
        <v>222</v>
      </c>
      <c r="P46" s="111"/>
      <c r="Q46" s="111"/>
      <c r="R46" s="111"/>
      <c r="S46" s="111"/>
      <c r="T46" s="111"/>
      <c r="U46" s="111"/>
      <c r="V46" s="112"/>
      <c r="W46" s="122" t="s">
        <v>235</v>
      </c>
    </row>
    <row r="47" spans="2:23" ht="15.75">
      <c r="B47" s="105" t="s">
        <v>231</v>
      </c>
      <c r="C47" s="106"/>
      <c r="D47" s="106"/>
      <c r="E47" s="114">
        <f>44/28</f>
        <v>1.5714285714285714</v>
      </c>
      <c r="F47" s="106"/>
      <c r="G47" s="106"/>
      <c r="H47" s="106"/>
      <c r="I47" s="106"/>
      <c r="J47" s="106"/>
      <c r="K47" s="106"/>
      <c r="M47" s="111"/>
      <c r="N47" s="111" t="s">
        <v>32</v>
      </c>
      <c r="O47" s="146">
        <f>(91.25*D42*O35)*10^-6</f>
        <v>3.5580450596600324E-05</v>
      </c>
      <c r="P47" s="146">
        <f aca="true" t="shared" si="11" ref="P47:U47">(91.25*E42*P35)*10^-6</f>
        <v>0</v>
      </c>
      <c r="Q47" s="146">
        <f t="shared" si="11"/>
        <v>2.7402768160644474E-05</v>
      </c>
      <c r="R47" s="146">
        <f t="shared" si="11"/>
        <v>0.00026594285374408354</v>
      </c>
      <c r="S47" s="146">
        <f t="shared" si="11"/>
        <v>0.00021106630969561544</v>
      </c>
      <c r="T47" s="146">
        <f t="shared" si="11"/>
        <v>0.00024119020476114368</v>
      </c>
      <c r="U47" s="146">
        <f t="shared" si="11"/>
        <v>3.849160324938968E-05</v>
      </c>
      <c r="V47" s="112" t="s">
        <v>225</v>
      </c>
      <c r="W47" s="122"/>
    </row>
    <row r="48" spans="13:23" ht="15.75">
      <c r="M48" s="111"/>
      <c r="N48" s="111" t="s">
        <v>33</v>
      </c>
      <c r="O48" s="146">
        <f>(91.25*D43*O36)*10^-6</f>
        <v>0.0002175407354474606</v>
      </c>
      <c r="P48" s="146">
        <f aca="true" t="shared" si="12" ref="P48:U50">(91.25*E43*P36)*10^-6</f>
        <v>0.0003421282778500407</v>
      </c>
      <c r="Q48" s="146">
        <f t="shared" si="12"/>
        <v>0</v>
      </c>
      <c r="R48" s="146">
        <f t="shared" si="12"/>
        <v>0.002164032889904807</v>
      </c>
      <c r="S48" s="146">
        <f t="shared" si="12"/>
        <v>0.007847559573010698</v>
      </c>
      <c r="T48" s="146">
        <f t="shared" si="12"/>
        <v>0</v>
      </c>
      <c r="U48" s="146">
        <f t="shared" si="12"/>
        <v>0.0020749079508995826</v>
      </c>
      <c r="V48" s="112" t="s">
        <v>225</v>
      </c>
      <c r="W48" s="122"/>
    </row>
    <row r="49" spans="13:23" ht="15.75">
      <c r="M49" s="111"/>
      <c r="N49" s="111" t="s">
        <v>34</v>
      </c>
      <c r="O49" s="146">
        <f>(91.25*D44*O37)*10^-6</f>
        <v>0.00011271323763419053</v>
      </c>
      <c r="P49" s="146">
        <f t="shared" si="12"/>
        <v>0</v>
      </c>
      <c r="Q49" s="146">
        <f t="shared" si="12"/>
        <v>0.0008435180820684081</v>
      </c>
      <c r="R49" s="146">
        <f t="shared" si="12"/>
        <v>0.0011576412491971315</v>
      </c>
      <c r="S49" s="146">
        <f t="shared" si="12"/>
        <v>0.004186571694863131</v>
      </c>
      <c r="T49" s="146">
        <f t="shared" si="12"/>
        <v>0.0009021394839803537</v>
      </c>
      <c r="U49" s="146">
        <f t="shared" si="12"/>
        <v>0.001101029006257541</v>
      </c>
      <c r="V49" s="112" t="s">
        <v>225</v>
      </c>
      <c r="W49" s="122"/>
    </row>
    <row r="50" spans="13:23" ht="15.75">
      <c r="M50" s="111"/>
      <c r="N50" s="111" t="s">
        <v>35</v>
      </c>
      <c r="O50" s="146">
        <f>(91.25*D45*O38)*10^-6</f>
        <v>7.386446425200543E-05</v>
      </c>
      <c r="P50" s="146">
        <f t="shared" si="12"/>
        <v>0</v>
      </c>
      <c r="Q50" s="146">
        <f t="shared" si="12"/>
        <v>0.0003625786218044365</v>
      </c>
      <c r="R50" s="146">
        <f t="shared" si="12"/>
        <v>0.0007866891360288736</v>
      </c>
      <c r="S50" s="146">
        <f t="shared" si="12"/>
        <v>0.0022941047030349392</v>
      </c>
      <c r="T50" s="146">
        <f t="shared" si="12"/>
        <v>0.0003458331464589086</v>
      </c>
      <c r="U50" s="146">
        <f t="shared" si="12"/>
        <v>0.0007505304995601265</v>
      </c>
      <c r="V50" s="112" t="s">
        <v>225</v>
      </c>
      <c r="W50" s="122"/>
    </row>
    <row r="51" spans="13:23" ht="15.75">
      <c r="M51" s="111"/>
      <c r="N51" s="111"/>
      <c r="O51" s="111"/>
      <c r="P51" s="111"/>
      <c r="Q51" s="111"/>
      <c r="R51" s="111"/>
      <c r="S51" s="111"/>
      <c r="T51" s="111"/>
      <c r="U51" s="111"/>
      <c r="V51" s="112"/>
      <c r="W51" s="122"/>
    </row>
    <row r="52" spans="13:23" ht="15.75">
      <c r="M52" s="110" t="s">
        <v>223</v>
      </c>
      <c r="N52" s="111"/>
      <c r="O52" s="110" t="s">
        <v>224</v>
      </c>
      <c r="P52" s="111"/>
      <c r="Q52" s="111"/>
      <c r="R52" s="111"/>
      <c r="S52" s="111"/>
      <c r="T52" s="111"/>
      <c r="U52" s="111"/>
      <c r="V52" s="112"/>
      <c r="W52" s="122"/>
    </row>
    <row r="53" spans="13:23" ht="15.75">
      <c r="M53" s="111"/>
      <c r="N53" s="111" t="s">
        <v>32</v>
      </c>
      <c r="O53" s="120">
        <f>O41+O47</f>
        <v>0.00011050892998150641</v>
      </c>
      <c r="P53" s="120">
        <f aca="true" t="shared" si="13" ref="P53:U53">P41+P47</f>
        <v>0</v>
      </c>
      <c r="Q53" s="120">
        <f t="shared" si="13"/>
        <v>0.0008595372861975989</v>
      </c>
      <c r="R53" s="120">
        <f t="shared" si="13"/>
        <v>0.0009409266945951253</v>
      </c>
      <c r="S53" s="120">
        <f t="shared" si="13"/>
        <v>0.002463409577302678</v>
      </c>
      <c r="T53" s="120">
        <f t="shared" si="13"/>
        <v>0.0010035937458887504</v>
      </c>
      <c r="U53" s="120">
        <f t="shared" si="13"/>
        <v>0.00015058019548963827</v>
      </c>
      <c r="V53" s="112" t="s">
        <v>225</v>
      </c>
      <c r="W53" s="122"/>
    </row>
    <row r="54" spans="13:23" ht="15.75">
      <c r="M54" s="111"/>
      <c r="N54" s="111" t="s">
        <v>33</v>
      </c>
      <c r="O54" s="120">
        <f aca="true" t="shared" si="14" ref="O54:U54">O42+O48</f>
        <v>0.0003135180339715063</v>
      </c>
      <c r="P54" s="120">
        <f t="shared" si="14"/>
        <v>0.0005048112634243515</v>
      </c>
      <c r="Q54" s="120">
        <f t="shared" si="14"/>
        <v>0</v>
      </c>
      <c r="R54" s="120">
        <f t="shared" si="14"/>
        <v>0.003208158911815488</v>
      </c>
      <c r="S54" s="120">
        <f t="shared" si="14"/>
        <v>0.01188654869675615</v>
      </c>
      <c r="T54" s="120">
        <f t="shared" si="14"/>
        <v>0</v>
      </c>
      <c r="U54" s="120">
        <f t="shared" si="14"/>
        <v>0.0030455851417514387</v>
      </c>
      <c r="V54" s="112" t="s">
        <v>225</v>
      </c>
      <c r="W54" s="122"/>
    </row>
    <row r="55" spans="13:23" ht="15.75">
      <c r="M55" s="111"/>
      <c r="N55" s="111" t="s">
        <v>34</v>
      </c>
      <c r="O55" s="120">
        <f aca="true" t="shared" si="15" ref="O55:U55">O43+O49</f>
        <v>0.00019751283169150636</v>
      </c>
      <c r="P55" s="120">
        <f t="shared" si="15"/>
        <v>0</v>
      </c>
      <c r="Q55" s="120">
        <f t="shared" si="15"/>
        <v>0.0017988634028652756</v>
      </c>
      <c r="R55" s="120">
        <f t="shared" si="15"/>
        <v>0.0021634714841269405</v>
      </c>
      <c r="S55" s="120">
        <f t="shared" si="15"/>
        <v>0.007459140842612752</v>
      </c>
      <c r="T55" s="120">
        <f t="shared" si="15"/>
        <v>0.0018574848047772212</v>
      </c>
      <c r="U55" s="120">
        <f t="shared" si="15"/>
        <v>0.002145205226026762</v>
      </c>
      <c r="V55" s="112" t="s">
        <v>225</v>
      </c>
      <c r="W55" s="122"/>
    </row>
    <row r="56" spans="13:23" ht="15.75">
      <c r="M56" s="111"/>
      <c r="N56" s="111" t="s">
        <v>35</v>
      </c>
      <c r="O56" s="120">
        <f aca="true" t="shared" si="16" ref="O56:U56">O44+O50</f>
        <v>0.00015401088083650638</v>
      </c>
      <c r="P56" s="120">
        <f t="shared" si="16"/>
        <v>0</v>
      </c>
      <c r="Q56" s="120">
        <f t="shared" si="16"/>
        <v>0.0011150809064890102</v>
      </c>
      <c r="R56" s="120">
        <f t="shared" si="16"/>
        <v>0.0017250988433744664</v>
      </c>
      <c r="S56" s="120">
        <f t="shared" si="16"/>
        <v>0.004552386707527067</v>
      </c>
      <c r="T56" s="120">
        <f t="shared" si="16"/>
        <v>0.0012407016402942253</v>
      </c>
      <c r="U56" s="120">
        <f t="shared" si="16"/>
        <v>0.001837044938022792</v>
      </c>
      <c r="V56" s="112" t="s">
        <v>225</v>
      </c>
      <c r="W56" s="122"/>
    </row>
    <row r="57" spans="13:23" ht="15.75">
      <c r="M57" s="111"/>
      <c r="N57" s="111"/>
      <c r="O57" s="111"/>
      <c r="P57" s="111"/>
      <c r="Q57" s="111"/>
      <c r="R57" s="111"/>
      <c r="S57" s="111"/>
      <c r="T57" s="111"/>
      <c r="U57" s="111"/>
      <c r="V57" s="112"/>
      <c r="W57" s="122"/>
    </row>
    <row r="58" spans="13:23" ht="15.75">
      <c r="M58" s="110" t="s">
        <v>226</v>
      </c>
      <c r="N58" s="111"/>
      <c r="O58" s="111"/>
      <c r="P58" s="111"/>
      <c r="Q58" s="111"/>
      <c r="R58" s="111"/>
      <c r="S58" s="111"/>
      <c r="T58" s="111"/>
      <c r="U58" s="111"/>
      <c r="V58" s="112"/>
      <c r="W58" s="122"/>
    </row>
    <row r="59" spans="13:23" ht="15.75">
      <c r="M59" s="111" t="s">
        <v>237</v>
      </c>
      <c r="N59" s="111"/>
      <c r="O59" s="110" t="s">
        <v>227</v>
      </c>
      <c r="P59" s="111"/>
      <c r="Q59" s="111"/>
      <c r="R59" s="111"/>
      <c r="S59" s="111"/>
      <c r="T59" s="111"/>
      <c r="U59" s="111"/>
      <c r="V59" s="112"/>
      <c r="W59" s="122" t="s">
        <v>233</v>
      </c>
    </row>
    <row r="60" spans="13:23" ht="15.75">
      <c r="M60" s="111"/>
      <c r="N60" s="111"/>
      <c r="O60" s="111" t="s">
        <v>236</v>
      </c>
      <c r="P60" s="111"/>
      <c r="Q60" s="111"/>
      <c r="R60" s="111"/>
      <c r="S60" s="111"/>
      <c r="T60" s="111"/>
      <c r="U60" s="111"/>
      <c r="V60" s="112"/>
      <c r="W60" s="122"/>
    </row>
    <row r="61" spans="13:23" ht="15.75">
      <c r="M61" s="111"/>
      <c r="N61" s="111"/>
      <c r="O61" s="111" t="s">
        <v>230</v>
      </c>
      <c r="P61" s="111"/>
      <c r="Q61" s="111"/>
      <c r="R61" s="111"/>
      <c r="S61" s="111"/>
      <c r="T61" s="111"/>
      <c r="U61" s="111"/>
      <c r="V61" s="112" t="s">
        <v>229</v>
      </c>
      <c r="W61" s="122" t="s">
        <v>228</v>
      </c>
    </row>
    <row r="62" spans="13:23" ht="15.75">
      <c r="M62" s="111"/>
      <c r="N62" s="111" t="s">
        <v>32</v>
      </c>
      <c r="O62" s="111">
        <f>O53*100%*0*$E$47</f>
        <v>0</v>
      </c>
      <c r="P62" s="111">
        <f aca="true" t="shared" si="17" ref="P62:U62">P53*100%*0*$E$47</f>
        <v>0</v>
      </c>
      <c r="Q62" s="111">
        <f t="shared" si="17"/>
        <v>0</v>
      </c>
      <c r="R62" s="111">
        <f t="shared" si="17"/>
        <v>0</v>
      </c>
      <c r="S62" s="111">
        <f t="shared" si="17"/>
        <v>0</v>
      </c>
      <c r="T62" s="111">
        <f t="shared" si="17"/>
        <v>0</v>
      </c>
      <c r="U62" s="111">
        <f t="shared" si="17"/>
        <v>0</v>
      </c>
      <c r="V62" s="112" t="s">
        <v>232</v>
      </c>
      <c r="W62" s="122"/>
    </row>
    <row r="63" spans="13:23" ht="15.75">
      <c r="M63" s="111"/>
      <c r="N63" s="111" t="s">
        <v>33</v>
      </c>
      <c r="O63" s="111">
        <f aca="true" t="shared" si="18" ref="O63:U63">O54*100%*0*$E$47</f>
        <v>0</v>
      </c>
      <c r="P63" s="111">
        <f t="shared" si="18"/>
        <v>0</v>
      </c>
      <c r="Q63" s="111">
        <f t="shared" si="18"/>
        <v>0</v>
      </c>
      <c r="R63" s="111">
        <f t="shared" si="18"/>
        <v>0</v>
      </c>
      <c r="S63" s="111">
        <f t="shared" si="18"/>
        <v>0</v>
      </c>
      <c r="T63" s="111">
        <f t="shared" si="18"/>
        <v>0</v>
      </c>
      <c r="U63" s="111">
        <f t="shared" si="18"/>
        <v>0</v>
      </c>
      <c r="V63" s="112"/>
      <c r="W63" s="122"/>
    </row>
    <row r="64" spans="13:23" ht="15.75">
      <c r="M64" s="111"/>
      <c r="N64" s="111" t="s">
        <v>34</v>
      </c>
      <c r="O64" s="111">
        <f aca="true" t="shared" si="19" ref="O64:U64">O55*100%*0*$E$47</f>
        <v>0</v>
      </c>
      <c r="P64" s="111">
        <f t="shared" si="19"/>
        <v>0</v>
      </c>
      <c r="Q64" s="111">
        <f t="shared" si="19"/>
        <v>0</v>
      </c>
      <c r="R64" s="111">
        <f t="shared" si="19"/>
        <v>0</v>
      </c>
      <c r="S64" s="111">
        <f t="shared" si="19"/>
        <v>0</v>
      </c>
      <c r="T64" s="111">
        <f t="shared" si="19"/>
        <v>0</v>
      </c>
      <c r="U64" s="111">
        <f t="shared" si="19"/>
        <v>0</v>
      </c>
      <c r="V64" s="112"/>
      <c r="W64" s="122"/>
    </row>
    <row r="65" spans="13:23" ht="15.75">
      <c r="M65" s="111"/>
      <c r="N65" s="111" t="s">
        <v>35</v>
      </c>
      <c r="O65" s="111">
        <f aca="true" t="shared" si="20" ref="O65:U65">O56*100%*0*$E$47</f>
        <v>0</v>
      </c>
      <c r="P65" s="111">
        <f t="shared" si="20"/>
        <v>0</v>
      </c>
      <c r="Q65" s="111">
        <f t="shared" si="20"/>
        <v>0</v>
      </c>
      <c r="R65" s="111">
        <f t="shared" si="20"/>
        <v>0</v>
      </c>
      <c r="S65" s="111">
        <f t="shared" si="20"/>
        <v>0</v>
      </c>
      <c r="T65" s="111">
        <f t="shared" si="20"/>
        <v>0</v>
      </c>
      <c r="U65" s="111">
        <f t="shared" si="20"/>
        <v>0</v>
      </c>
      <c r="V65" s="112"/>
      <c r="W65" s="122"/>
    </row>
    <row r="66" spans="13:23" ht="15.75">
      <c r="M66" s="111"/>
      <c r="N66" s="111"/>
      <c r="O66" s="111"/>
      <c r="P66" s="111"/>
      <c r="Q66" s="111"/>
      <c r="R66" s="111"/>
      <c r="S66" s="111"/>
      <c r="T66" s="111"/>
      <c r="U66" s="111"/>
      <c r="V66" s="112"/>
      <c r="W66" s="122"/>
    </row>
    <row r="67" spans="13:23" ht="15.75">
      <c r="M67" s="110" t="s">
        <v>238</v>
      </c>
      <c r="N67" s="111">
        <f>SUM(O62:U65)</f>
        <v>0</v>
      </c>
      <c r="O67" s="111"/>
      <c r="P67" s="111"/>
      <c r="Q67" s="111"/>
      <c r="R67" s="111"/>
      <c r="S67" s="111"/>
      <c r="T67" s="111"/>
      <c r="U67" s="111"/>
      <c r="V67" s="112" t="s">
        <v>239</v>
      </c>
      <c r="W67" s="122"/>
    </row>
    <row r="68" spans="13:23" ht="15.75">
      <c r="M68" s="110" t="s">
        <v>238</v>
      </c>
      <c r="N68" s="111">
        <f>N67*310</f>
        <v>0</v>
      </c>
      <c r="O68" s="111"/>
      <c r="P68" s="111"/>
      <c r="Q68" s="111"/>
      <c r="R68" s="111"/>
      <c r="S68" s="111"/>
      <c r="T68" s="111"/>
      <c r="U68" s="111"/>
      <c r="V68" s="112" t="s">
        <v>184</v>
      </c>
      <c r="W68" s="122"/>
    </row>
    <row r="69" spans="13:23" ht="15.75">
      <c r="M69" s="105" t="s">
        <v>238</v>
      </c>
      <c r="N69" s="106">
        <f>N68*10^3</f>
        <v>0</v>
      </c>
      <c r="O69" s="106"/>
      <c r="P69" s="106"/>
      <c r="Q69" s="106"/>
      <c r="R69" s="106"/>
      <c r="S69" s="106"/>
      <c r="T69" s="106"/>
      <c r="U69" s="106"/>
      <c r="V69" s="121" t="s">
        <v>185</v>
      </c>
      <c r="W69" s="123"/>
    </row>
    <row r="102" spans="14:23" ht="15.75">
      <c r="N102" s="98"/>
      <c r="O102" s="98"/>
      <c r="P102" s="98"/>
      <c r="Q102" s="98"/>
      <c r="R102" s="98"/>
      <c r="S102" s="98"/>
      <c r="T102" s="98"/>
      <c r="W102" s="108"/>
    </row>
    <row r="103" spans="14:23" ht="15.75">
      <c r="N103" s="98"/>
      <c r="O103" s="98"/>
      <c r="P103" s="98"/>
      <c r="Q103" s="98"/>
      <c r="R103" s="98"/>
      <c r="S103" s="98"/>
      <c r="T103" s="98"/>
      <c r="W103" s="108"/>
    </row>
    <row r="104" spans="14:23" ht="15.75">
      <c r="N104" s="98"/>
      <c r="O104" s="98"/>
      <c r="P104" s="98"/>
      <c r="Q104" s="98"/>
      <c r="R104" s="98"/>
      <c r="S104" s="98"/>
      <c r="T104" s="98"/>
      <c r="W104" s="108"/>
    </row>
    <row r="105" spans="14:21" ht="15.75">
      <c r="N105" s="98"/>
      <c r="O105" s="98"/>
      <c r="P105" s="98"/>
      <c r="Q105" s="98"/>
      <c r="R105" s="98"/>
      <c r="S105" s="98"/>
      <c r="T105" s="98"/>
      <c r="U105" s="98"/>
    </row>
    <row r="106" spans="14:21" ht="15.75">
      <c r="N106" s="100"/>
      <c r="O106" s="100"/>
      <c r="P106" s="100"/>
      <c r="Q106" s="100"/>
      <c r="R106" s="100"/>
      <c r="S106" s="100"/>
      <c r="T106" s="100"/>
      <c r="U106" s="98"/>
    </row>
  </sheetData>
  <sheetProtection sheet="1"/>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B218"/>
  <sheetViews>
    <sheetView showGridLines="0" zoomScale="80" zoomScaleNormal="80" zoomScalePageLayoutView="0" workbookViewId="0" topLeftCell="A1">
      <selection activeCell="A1" sqref="A1"/>
    </sheetView>
  </sheetViews>
  <sheetFormatPr defaultColWidth="8.8515625" defaultRowHeight="12.75"/>
  <cols>
    <col min="1" max="1" width="3.140625" style="1" customWidth="1"/>
    <col min="2" max="2" width="38.8515625" style="1" customWidth="1"/>
    <col min="3" max="3" width="15.421875" style="1" customWidth="1"/>
    <col min="4" max="4" width="13.7109375" style="1" customWidth="1"/>
    <col min="5" max="5" width="14.28125" style="1" customWidth="1"/>
    <col min="6" max="6" width="11.421875" style="1" customWidth="1"/>
    <col min="7" max="7" width="14.28125" style="1" customWidth="1"/>
    <col min="8" max="8" width="14.7109375" style="1" customWidth="1"/>
    <col min="9" max="10" width="14.00390625" style="1" bestFit="1" customWidth="1"/>
    <col min="11" max="11" width="19.28125" style="1" customWidth="1"/>
    <col min="12" max="12" width="21.57421875" style="101" customWidth="1"/>
    <col min="13" max="13" width="20.00390625" style="1" bestFit="1" customWidth="1"/>
    <col min="14" max="14" width="6.57421875" style="1" customWidth="1"/>
    <col min="15" max="15" width="13.28125" style="1" bestFit="1" customWidth="1"/>
    <col min="16" max="16" width="15.00390625" style="1" bestFit="1" customWidth="1"/>
    <col min="17" max="17" width="15.28125" style="1" bestFit="1" customWidth="1"/>
    <col min="18" max="19" width="12.7109375" style="1" bestFit="1" customWidth="1"/>
    <col min="20" max="24" width="8.8515625" style="1" customWidth="1"/>
    <col min="25" max="25" width="15.421875" style="1" bestFit="1" customWidth="1"/>
    <col min="26" max="16384" width="8.8515625" style="1" customWidth="1"/>
  </cols>
  <sheetData>
    <row r="1" spans="1:12" ht="30" customHeight="1">
      <c r="A1" s="46" t="s">
        <v>241</v>
      </c>
      <c r="H1" s="2"/>
      <c r="L1" s="141"/>
    </row>
    <row r="2" spans="2:11" ht="15.75">
      <c r="B2" s="97"/>
      <c r="H2" s="48"/>
      <c r="I2" s="3"/>
      <c r="J2" s="3"/>
      <c r="K2" s="3"/>
    </row>
    <row r="3" spans="2:12" ht="15.75">
      <c r="B3" s="131" t="s">
        <v>112</v>
      </c>
      <c r="C3" s="131" t="s">
        <v>154</v>
      </c>
      <c r="D3" s="138"/>
      <c r="E3" s="131"/>
      <c r="F3" s="131"/>
      <c r="G3" s="131"/>
      <c r="H3" s="131"/>
      <c r="I3" s="131"/>
      <c r="J3" s="131"/>
      <c r="K3" s="132" t="str">
        <f>'Enteric fermentation'!K3</f>
        <v>Units</v>
      </c>
      <c r="L3" s="128" t="s">
        <v>425</v>
      </c>
    </row>
    <row r="4" spans="2:12" ht="15.75">
      <c r="B4" s="133"/>
      <c r="C4" s="134"/>
      <c r="D4" s="133"/>
      <c r="E4" s="135"/>
      <c r="F4" s="130"/>
      <c r="G4" s="130"/>
      <c r="H4" s="130"/>
      <c r="I4" s="130"/>
      <c r="J4" s="130"/>
      <c r="K4" s="130"/>
      <c r="L4" s="139"/>
    </row>
    <row r="5" spans="2:12" ht="15.75">
      <c r="B5" s="136" t="s">
        <v>363</v>
      </c>
      <c r="C5" s="130" t="s">
        <v>32</v>
      </c>
      <c r="D5" s="133">
        <f>'Data input'!D37*$C$15</f>
        <v>0</v>
      </c>
      <c r="E5" s="133"/>
      <c r="F5" s="130"/>
      <c r="G5" s="130"/>
      <c r="H5" s="130"/>
      <c r="I5" s="135"/>
      <c r="J5" s="130"/>
      <c r="K5" s="130" t="s">
        <v>243</v>
      </c>
      <c r="L5" s="139"/>
    </row>
    <row r="6" spans="2:12" ht="15.75">
      <c r="B6" s="130"/>
      <c r="C6" s="130" t="s">
        <v>33</v>
      </c>
      <c r="D6" s="133">
        <f>'Data input'!D38*$C$15</f>
        <v>0</v>
      </c>
      <c r="E6" s="133"/>
      <c r="F6" s="130"/>
      <c r="G6" s="130"/>
      <c r="H6" s="130"/>
      <c r="I6" s="135"/>
      <c r="J6" s="130"/>
      <c r="K6" s="130" t="s">
        <v>243</v>
      </c>
      <c r="L6" s="139"/>
    </row>
    <row r="7" spans="2:12" ht="15.75">
      <c r="B7" s="130"/>
      <c r="C7" s="130" t="s">
        <v>34</v>
      </c>
      <c r="D7" s="133">
        <f>'Data input'!D39*$C$15</f>
        <v>0</v>
      </c>
      <c r="E7" s="133"/>
      <c r="F7" s="130"/>
      <c r="G7" s="130"/>
      <c r="H7" s="130"/>
      <c r="I7" s="135"/>
      <c r="J7" s="130"/>
      <c r="K7" s="130" t="s">
        <v>243</v>
      </c>
      <c r="L7" s="139"/>
    </row>
    <row r="8" spans="2:12" ht="15.75">
      <c r="B8" s="130"/>
      <c r="C8" s="130" t="s">
        <v>35</v>
      </c>
      <c r="D8" s="133">
        <f>'Data input'!D40*$C$15</f>
        <v>0</v>
      </c>
      <c r="E8" s="133"/>
      <c r="F8" s="130"/>
      <c r="G8" s="130"/>
      <c r="H8" s="130"/>
      <c r="I8" s="135"/>
      <c r="J8" s="130"/>
      <c r="K8" s="130" t="s">
        <v>243</v>
      </c>
      <c r="L8" s="139"/>
    </row>
    <row r="9" spans="2:12" ht="15.75">
      <c r="B9" s="130"/>
      <c r="C9" s="133"/>
      <c r="D9" s="133"/>
      <c r="E9" s="133"/>
      <c r="F9" s="130"/>
      <c r="G9" s="130"/>
      <c r="H9" s="130"/>
      <c r="I9" s="135"/>
      <c r="J9" s="130"/>
      <c r="K9" s="130"/>
      <c r="L9" s="139"/>
    </row>
    <row r="10" spans="2:12" ht="15.75">
      <c r="B10" s="136" t="s">
        <v>362</v>
      </c>
      <c r="C10" s="130" t="s">
        <v>32</v>
      </c>
      <c r="D10" s="133">
        <f>'Data input'!D43*$C$16</f>
        <v>0</v>
      </c>
      <c r="E10" s="133"/>
      <c r="F10" s="130"/>
      <c r="G10" s="130"/>
      <c r="H10" s="130"/>
      <c r="I10" s="135"/>
      <c r="J10" s="130"/>
      <c r="K10" s="130" t="s">
        <v>243</v>
      </c>
      <c r="L10" s="139"/>
    </row>
    <row r="11" spans="2:12" ht="15.75">
      <c r="B11" s="130"/>
      <c r="C11" s="130" t="s">
        <v>33</v>
      </c>
      <c r="D11" s="133">
        <f>'Data input'!D44*$C$16</f>
        <v>0</v>
      </c>
      <c r="E11" s="133"/>
      <c r="F11" s="130"/>
      <c r="G11" s="130"/>
      <c r="H11" s="130"/>
      <c r="I11" s="135"/>
      <c r="J11" s="130"/>
      <c r="K11" s="130" t="s">
        <v>243</v>
      </c>
      <c r="L11" s="139"/>
    </row>
    <row r="12" spans="2:12" ht="15.75">
      <c r="B12" s="130"/>
      <c r="C12" s="130" t="s">
        <v>34</v>
      </c>
      <c r="D12" s="133">
        <f>'Data input'!D45*$C$16</f>
        <v>0</v>
      </c>
      <c r="E12" s="133"/>
      <c r="F12" s="130"/>
      <c r="G12" s="130"/>
      <c r="H12" s="130"/>
      <c r="I12" s="135"/>
      <c r="J12" s="130"/>
      <c r="K12" s="130" t="s">
        <v>243</v>
      </c>
      <c r="L12" s="139"/>
    </row>
    <row r="13" spans="2:12" ht="15.75">
      <c r="B13" s="130"/>
      <c r="C13" s="130" t="s">
        <v>35</v>
      </c>
      <c r="D13" s="133">
        <f>'Data input'!D46*$C$16</f>
        <v>0</v>
      </c>
      <c r="E13" s="133"/>
      <c r="F13" s="130"/>
      <c r="G13" s="130"/>
      <c r="H13" s="130"/>
      <c r="I13" s="135"/>
      <c r="J13" s="130"/>
      <c r="K13" s="130" t="s">
        <v>243</v>
      </c>
      <c r="L13" s="139"/>
    </row>
    <row r="14" spans="2:12" ht="15.75">
      <c r="B14" s="130"/>
      <c r="C14" s="130"/>
      <c r="D14" s="133"/>
      <c r="E14" s="135"/>
      <c r="F14" s="130"/>
      <c r="G14" s="130"/>
      <c r="H14" s="130"/>
      <c r="I14" s="135"/>
      <c r="J14" s="130"/>
      <c r="K14" s="130"/>
      <c r="L14" s="139"/>
    </row>
    <row r="15" spans="2:12" ht="15.75">
      <c r="B15" s="136" t="s">
        <v>21</v>
      </c>
      <c r="C15" s="130">
        <f>'Data input'!C34</f>
        <v>10</v>
      </c>
      <c r="D15" s="133"/>
      <c r="E15" s="135"/>
      <c r="F15" s="130"/>
      <c r="G15" s="130"/>
      <c r="H15" s="130"/>
      <c r="I15" s="135"/>
      <c r="J15" s="130"/>
      <c r="K15" s="130"/>
      <c r="L15" s="139"/>
    </row>
    <row r="16" spans="2:12" ht="15.75">
      <c r="B16" s="136" t="s">
        <v>22</v>
      </c>
      <c r="C16" s="130">
        <f>'Data input'!C35</f>
        <v>400</v>
      </c>
      <c r="D16" s="133"/>
      <c r="E16" s="135"/>
      <c r="F16" s="130"/>
      <c r="G16" s="130"/>
      <c r="H16" s="130"/>
      <c r="I16" s="135"/>
      <c r="J16" s="130"/>
      <c r="K16" s="130"/>
      <c r="L16" s="139"/>
    </row>
    <row r="17" spans="2:12" ht="15.75">
      <c r="B17" s="158" t="s">
        <v>231</v>
      </c>
      <c r="C17" s="159">
        <f>44/28</f>
        <v>1.5714285714285714</v>
      </c>
      <c r="D17" s="133"/>
      <c r="E17" s="135"/>
      <c r="F17" s="130"/>
      <c r="G17" s="130"/>
      <c r="H17" s="130"/>
      <c r="I17" s="135"/>
      <c r="J17" s="130"/>
      <c r="K17" s="130"/>
      <c r="L17" s="139"/>
    </row>
    <row r="18" spans="2:22" ht="15.75">
      <c r="B18" s="133"/>
      <c r="C18" s="130"/>
      <c r="D18" s="133"/>
      <c r="E18" s="135"/>
      <c r="F18" s="130"/>
      <c r="G18" s="130"/>
      <c r="H18" s="130"/>
      <c r="I18" s="135"/>
      <c r="J18" s="130"/>
      <c r="K18" s="130"/>
      <c r="L18" s="147"/>
      <c r="M18" s="3"/>
      <c r="N18" s="3"/>
      <c r="O18" s="3"/>
      <c r="P18" s="3"/>
      <c r="Q18" s="3"/>
      <c r="R18" s="3"/>
      <c r="S18" s="3"/>
      <c r="T18" s="3"/>
      <c r="U18" s="3"/>
      <c r="V18" s="3"/>
    </row>
    <row r="19" spans="2:22" ht="15.75">
      <c r="B19" s="136" t="s">
        <v>242</v>
      </c>
      <c r="C19" s="133"/>
      <c r="D19" s="133"/>
      <c r="E19" s="135"/>
      <c r="F19" s="130"/>
      <c r="G19" s="130"/>
      <c r="H19" s="130"/>
      <c r="I19" s="135"/>
      <c r="J19" s="130"/>
      <c r="K19" s="130"/>
      <c r="L19" s="147"/>
      <c r="M19" s="3"/>
      <c r="N19" s="3"/>
      <c r="O19" s="3"/>
      <c r="P19" s="3"/>
      <c r="Q19" s="3"/>
      <c r="R19" s="3"/>
      <c r="S19" s="3"/>
      <c r="T19" s="3"/>
      <c r="U19" s="3"/>
      <c r="V19" s="3"/>
    </row>
    <row r="20" spans="2:22" ht="15.75">
      <c r="B20" s="158" t="s">
        <v>244</v>
      </c>
      <c r="C20" s="133"/>
      <c r="D20" s="158" t="s">
        <v>245</v>
      </c>
      <c r="E20" s="135"/>
      <c r="F20" s="130"/>
      <c r="G20" s="130"/>
      <c r="H20" s="130"/>
      <c r="I20" s="135"/>
      <c r="J20" s="130"/>
      <c r="K20" s="130"/>
      <c r="L20" s="147" t="s">
        <v>248</v>
      </c>
      <c r="M20" s="3"/>
      <c r="N20" s="3"/>
      <c r="O20" s="3"/>
      <c r="P20" s="3"/>
      <c r="Q20" s="3"/>
      <c r="R20" s="3"/>
      <c r="S20" s="3"/>
      <c r="T20" s="3"/>
      <c r="U20" s="3"/>
      <c r="V20" s="3"/>
    </row>
    <row r="21" spans="2:22" ht="12.75" customHeight="1">
      <c r="B21" s="130"/>
      <c r="C21" s="133"/>
      <c r="D21" s="133" t="s">
        <v>246</v>
      </c>
      <c r="E21" s="135"/>
      <c r="F21" s="130"/>
      <c r="G21" s="130"/>
      <c r="H21" s="130"/>
      <c r="I21" s="135"/>
      <c r="J21" s="130"/>
      <c r="K21" s="130"/>
      <c r="L21" s="148"/>
      <c r="M21" s="3"/>
      <c r="N21" s="3"/>
      <c r="O21" s="3"/>
      <c r="P21" s="3"/>
      <c r="Q21" s="3"/>
      <c r="R21" s="3"/>
      <c r="S21" s="3"/>
      <c r="T21" s="3"/>
      <c r="U21" s="3"/>
      <c r="V21" s="3"/>
    </row>
    <row r="22" spans="2:22" ht="15.75">
      <c r="B22" s="130"/>
      <c r="C22" s="133"/>
      <c r="D22" s="133" t="s">
        <v>247</v>
      </c>
      <c r="E22" s="135"/>
      <c r="F22" s="130"/>
      <c r="G22" s="130"/>
      <c r="H22" s="130"/>
      <c r="I22" s="133"/>
      <c r="J22" s="133"/>
      <c r="K22" s="130"/>
      <c r="L22" s="147" t="s">
        <v>249</v>
      </c>
      <c r="M22" s="3"/>
      <c r="N22" s="49"/>
      <c r="O22" s="3"/>
      <c r="P22" s="3"/>
      <c r="Q22" s="3"/>
      <c r="R22" s="3"/>
      <c r="S22" s="3"/>
      <c r="T22" s="3"/>
      <c r="U22" s="3"/>
      <c r="V22" s="3"/>
    </row>
    <row r="23" spans="2:22" ht="15.75">
      <c r="B23" s="130" t="s">
        <v>250</v>
      </c>
      <c r="C23" s="130" t="s">
        <v>32</v>
      </c>
      <c r="D23" s="130">
        <f>D5*1*10^-6</f>
        <v>0</v>
      </c>
      <c r="E23" s="133"/>
      <c r="F23" s="130"/>
      <c r="G23" s="130"/>
      <c r="H23" s="133"/>
      <c r="I23" s="133"/>
      <c r="J23" s="133"/>
      <c r="K23" s="130" t="s">
        <v>251</v>
      </c>
      <c r="L23" s="147"/>
      <c r="M23" s="3"/>
      <c r="N23" s="3"/>
      <c r="O23" s="3"/>
      <c r="P23" s="3"/>
      <c r="Q23" s="3"/>
      <c r="R23" s="3"/>
      <c r="S23" s="3"/>
      <c r="T23" s="3"/>
      <c r="U23" s="3"/>
      <c r="V23" s="3"/>
    </row>
    <row r="24" spans="2:22" ht="15.75">
      <c r="B24" s="130"/>
      <c r="C24" s="130" t="s">
        <v>33</v>
      </c>
      <c r="D24" s="130">
        <f>D6*1*10^-6</f>
        <v>0</v>
      </c>
      <c r="E24" s="133"/>
      <c r="F24" s="130"/>
      <c r="G24" s="130"/>
      <c r="H24" s="130"/>
      <c r="I24" s="130"/>
      <c r="J24" s="130"/>
      <c r="K24" s="130" t="s">
        <v>251</v>
      </c>
      <c r="L24" s="147"/>
      <c r="M24" s="3"/>
      <c r="N24" s="3"/>
      <c r="O24" s="3"/>
      <c r="P24" s="3"/>
      <c r="Q24" s="3"/>
      <c r="R24" s="3"/>
      <c r="S24" s="3"/>
      <c r="T24" s="3"/>
      <c r="U24" s="3"/>
      <c r="V24" s="3"/>
    </row>
    <row r="25" spans="2:22" ht="15.75">
      <c r="B25" s="130"/>
      <c r="C25" s="130" t="s">
        <v>34</v>
      </c>
      <c r="D25" s="130">
        <f>D7*1*10^-6</f>
        <v>0</v>
      </c>
      <c r="E25" s="133"/>
      <c r="F25" s="130"/>
      <c r="G25" s="130"/>
      <c r="H25" s="130"/>
      <c r="I25" s="130"/>
      <c r="J25" s="130"/>
      <c r="K25" s="130" t="s">
        <v>251</v>
      </c>
      <c r="L25" s="147"/>
      <c r="M25" s="3"/>
      <c r="N25" s="3"/>
      <c r="O25" s="3"/>
      <c r="P25" s="3"/>
      <c r="Q25" s="3"/>
      <c r="R25" s="3"/>
      <c r="S25" s="3"/>
      <c r="T25" s="3"/>
      <c r="U25" s="3"/>
      <c r="V25" s="3"/>
    </row>
    <row r="26" spans="2:22" ht="15.75">
      <c r="B26" s="130"/>
      <c r="C26" s="130" t="s">
        <v>35</v>
      </c>
      <c r="D26" s="130">
        <f>D8*1*10^-6</f>
        <v>0</v>
      </c>
      <c r="E26" s="133"/>
      <c r="F26" s="130"/>
      <c r="G26" s="130"/>
      <c r="H26" s="130"/>
      <c r="I26" s="130"/>
      <c r="J26" s="130"/>
      <c r="K26" s="130" t="s">
        <v>251</v>
      </c>
      <c r="L26" s="147"/>
      <c r="M26" s="3"/>
      <c r="N26" s="3"/>
      <c r="O26" s="3"/>
      <c r="P26" s="3"/>
      <c r="Q26" s="3"/>
      <c r="R26" s="3"/>
      <c r="S26" s="3"/>
      <c r="T26" s="3"/>
      <c r="U26" s="3"/>
      <c r="V26" s="3"/>
    </row>
    <row r="27" spans="2:22" ht="15.75">
      <c r="B27" s="130"/>
      <c r="C27" s="130"/>
      <c r="D27" s="130"/>
      <c r="E27" s="133"/>
      <c r="F27" s="130"/>
      <c r="G27" s="130"/>
      <c r="H27" s="130"/>
      <c r="I27" s="130"/>
      <c r="J27" s="130"/>
      <c r="K27" s="130"/>
      <c r="L27" s="147"/>
      <c r="M27" s="3"/>
      <c r="N27" s="3"/>
      <c r="O27" s="3"/>
      <c r="P27" s="3"/>
      <c r="Q27" s="3"/>
      <c r="R27" s="3"/>
      <c r="S27" s="3"/>
      <c r="T27" s="3"/>
      <c r="U27" s="3"/>
      <c r="V27" s="3"/>
    </row>
    <row r="28" spans="2:22" ht="15.75">
      <c r="B28" s="130" t="s">
        <v>122</v>
      </c>
      <c r="C28" s="130" t="s">
        <v>32</v>
      </c>
      <c r="D28" s="130">
        <f>D10*1*10^-6</f>
        <v>0</v>
      </c>
      <c r="E28" s="133"/>
      <c r="F28" s="130"/>
      <c r="G28" s="130"/>
      <c r="H28" s="130"/>
      <c r="I28" s="130"/>
      <c r="J28" s="130"/>
      <c r="K28" s="130" t="s">
        <v>251</v>
      </c>
      <c r="L28" s="147"/>
      <c r="M28" s="3"/>
      <c r="N28" s="3"/>
      <c r="O28" s="3"/>
      <c r="P28" s="3"/>
      <c r="Q28" s="3"/>
      <c r="R28" s="3"/>
      <c r="S28" s="3"/>
      <c r="T28" s="3"/>
      <c r="U28" s="3"/>
      <c r="V28" s="3"/>
    </row>
    <row r="29" spans="2:22" ht="15.75">
      <c r="B29" s="130"/>
      <c r="C29" s="130" t="s">
        <v>33</v>
      </c>
      <c r="D29" s="130">
        <f>D11*1*10^-6</f>
        <v>0</v>
      </c>
      <c r="E29" s="133"/>
      <c r="F29" s="130"/>
      <c r="G29" s="130"/>
      <c r="H29" s="130"/>
      <c r="I29" s="130"/>
      <c r="J29" s="130"/>
      <c r="K29" s="130" t="s">
        <v>251</v>
      </c>
      <c r="L29" s="147"/>
      <c r="M29" s="3"/>
      <c r="N29" s="3"/>
      <c r="O29" s="3"/>
      <c r="P29" s="3"/>
      <c r="Q29" s="3"/>
      <c r="R29" s="3"/>
      <c r="S29" s="3"/>
      <c r="T29" s="3"/>
      <c r="U29" s="3"/>
      <c r="V29" s="3"/>
    </row>
    <row r="30" spans="2:22" ht="15.75">
      <c r="B30" s="130"/>
      <c r="C30" s="130" t="s">
        <v>34</v>
      </c>
      <c r="D30" s="130">
        <f>D12*1*10^-6</f>
        <v>0</v>
      </c>
      <c r="E30" s="133"/>
      <c r="F30" s="130"/>
      <c r="G30" s="130"/>
      <c r="H30" s="130"/>
      <c r="I30" s="130"/>
      <c r="J30" s="130"/>
      <c r="K30" s="130" t="s">
        <v>251</v>
      </c>
      <c r="L30" s="147"/>
      <c r="M30" s="3"/>
      <c r="N30" s="3"/>
      <c r="O30" s="3"/>
      <c r="P30" s="3"/>
      <c r="Q30" s="3"/>
      <c r="R30" s="3"/>
      <c r="S30" s="3"/>
      <c r="T30" s="3"/>
      <c r="U30" s="3"/>
      <c r="V30" s="3"/>
    </row>
    <row r="31" spans="2:22" ht="15.75">
      <c r="B31" s="130"/>
      <c r="C31" s="130" t="s">
        <v>35</v>
      </c>
      <c r="D31" s="130">
        <f>D13*1*10^-6</f>
        <v>0</v>
      </c>
      <c r="E31" s="133"/>
      <c r="F31" s="130"/>
      <c r="G31" s="130"/>
      <c r="H31" s="130"/>
      <c r="I31" s="130"/>
      <c r="J31" s="130"/>
      <c r="K31" s="130" t="s">
        <v>251</v>
      </c>
      <c r="L31" s="147"/>
      <c r="M31" s="3"/>
      <c r="N31" s="3"/>
      <c r="O31" s="3"/>
      <c r="P31" s="3"/>
      <c r="Q31" s="3"/>
      <c r="R31" s="3"/>
      <c r="S31" s="3"/>
      <c r="T31" s="3"/>
      <c r="U31" s="3"/>
      <c r="V31" s="3"/>
    </row>
    <row r="32" spans="2:22" ht="15.75">
      <c r="B32" s="130"/>
      <c r="C32" s="130"/>
      <c r="D32" s="130"/>
      <c r="E32" s="135"/>
      <c r="F32" s="130"/>
      <c r="G32" s="130"/>
      <c r="H32" s="130"/>
      <c r="I32" s="130"/>
      <c r="J32" s="130"/>
      <c r="K32" s="130"/>
      <c r="L32" s="147"/>
      <c r="M32" s="3"/>
      <c r="N32" s="3"/>
      <c r="O32" s="3"/>
      <c r="P32" s="3"/>
      <c r="Q32" s="3"/>
      <c r="R32" s="3"/>
      <c r="S32" s="3"/>
      <c r="T32" s="3"/>
      <c r="U32" s="3"/>
      <c r="V32" s="3"/>
    </row>
    <row r="33" spans="2:22" ht="15.75">
      <c r="B33" s="158" t="s">
        <v>252</v>
      </c>
      <c r="C33" s="130"/>
      <c r="D33" s="158" t="s">
        <v>253</v>
      </c>
      <c r="E33" s="135"/>
      <c r="F33" s="130"/>
      <c r="G33" s="130"/>
      <c r="H33" s="130"/>
      <c r="I33" s="130"/>
      <c r="J33" s="130"/>
      <c r="K33" s="130"/>
      <c r="L33" s="147" t="s">
        <v>254</v>
      </c>
      <c r="M33" s="3"/>
      <c r="N33" s="3"/>
      <c r="O33" s="3"/>
      <c r="P33" s="3"/>
      <c r="Q33" s="3"/>
      <c r="R33" s="3"/>
      <c r="S33" s="3"/>
      <c r="T33" s="3"/>
      <c r="U33" s="3"/>
      <c r="V33" s="3"/>
    </row>
    <row r="34" spans="2:22" ht="15.75">
      <c r="B34" s="130"/>
      <c r="C34" s="130"/>
      <c r="D34" s="133" t="s">
        <v>255</v>
      </c>
      <c r="E34" s="133"/>
      <c r="F34" s="133"/>
      <c r="G34" s="133"/>
      <c r="H34" s="133"/>
      <c r="I34" s="133"/>
      <c r="J34" s="133"/>
      <c r="K34" s="133" t="s">
        <v>256</v>
      </c>
      <c r="L34" s="147" t="s">
        <v>257</v>
      </c>
      <c r="M34" s="3"/>
      <c r="N34" s="3"/>
      <c r="O34" s="3"/>
      <c r="P34" s="3"/>
      <c r="Q34" s="3"/>
      <c r="R34" s="3"/>
      <c r="S34" s="3"/>
      <c r="T34" s="3"/>
      <c r="U34" s="3"/>
      <c r="V34" s="3"/>
    </row>
    <row r="35" spans="2:22" ht="15.75">
      <c r="B35" s="321" t="s">
        <v>258</v>
      </c>
      <c r="C35" s="322" t="s">
        <v>9</v>
      </c>
      <c r="D35" s="130"/>
      <c r="E35" s="160" t="s">
        <v>250</v>
      </c>
      <c r="F35" s="161" t="s">
        <v>32</v>
      </c>
      <c r="G35" s="161"/>
      <c r="H35" s="161">
        <f>D23*0.003*$C$17</f>
        <v>0</v>
      </c>
      <c r="I35" s="179"/>
      <c r="J35" s="130"/>
      <c r="K35" s="130" t="s">
        <v>266</v>
      </c>
      <c r="L35" s="147"/>
      <c r="M35" s="3"/>
      <c r="N35" s="3"/>
      <c r="O35" s="3"/>
      <c r="P35" s="3"/>
      <c r="Q35" s="3"/>
      <c r="R35" s="3"/>
      <c r="S35" s="3"/>
      <c r="T35" s="3"/>
      <c r="U35" s="3"/>
      <c r="V35" s="3"/>
    </row>
    <row r="36" spans="2:22" ht="15.75">
      <c r="B36" s="164" t="s">
        <v>259</v>
      </c>
      <c r="C36" s="157">
        <v>0.004</v>
      </c>
      <c r="D36" s="130"/>
      <c r="E36" s="164"/>
      <c r="F36" s="130" t="s">
        <v>33</v>
      </c>
      <c r="G36" s="130"/>
      <c r="H36" s="130">
        <f>D24*0.003*$C$17</f>
        <v>0</v>
      </c>
      <c r="I36" s="157"/>
      <c r="J36" s="130"/>
      <c r="K36" s="130" t="s">
        <v>266</v>
      </c>
      <c r="L36" s="147"/>
      <c r="M36" s="3"/>
      <c r="N36" s="3"/>
      <c r="O36" s="3"/>
      <c r="P36" s="3"/>
      <c r="Q36" s="3"/>
      <c r="R36" s="3"/>
      <c r="S36" s="3"/>
      <c r="T36" s="3"/>
      <c r="U36" s="3"/>
      <c r="V36" s="3"/>
    </row>
    <row r="37" spans="2:22" ht="15.75">
      <c r="B37" s="164" t="s">
        <v>260</v>
      </c>
      <c r="C37" s="157">
        <v>0.021</v>
      </c>
      <c r="D37" s="130"/>
      <c r="E37" s="164"/>
      <c r="F37" s="130" t="s">
        <v>34</v>
      </c>
      <c r="G37" s="130"/>
      <c r="H37" s="130">
        <f>D25*0.003*$C$17</f>
        <v>0</v>
      </c>
      <c r="I37" s="157"/>
      <c r="J37" s="130"/>
      <c r="K37" s="130" t="s">
        <v>266</v>
      </c>
      <c r="L37" s="147"/>
      <c r="M37" s="3"/>
      <c r="N37" s="3"/>
      <c r="O37" s="3"/>
      <c r="P37" s="3"/>
      <c r="Q37" s="3"/>
      <c r="R37" s="3"/>
      <c r="S37" s="3"/>
      <c r="T37" s="3"/>
      <c r="U37" s="3"/>
      <c r="V37" s="3"/>
    </row>
    <row r="38" spans="2:22" ht="15.75">
      <c r="B38" s="163" t="s">
        <v>261</v>
      </c>
      <c r="C38" s="320">
        <v>0.004</v>
      </c>
      <c r="D38" s="130"/>
      <c r="E38" s="164"/>
      <c r="F38" s="130" t="s">
        <v>35</v>
      </c>
      <c r="G38" s="130"/>
      <c r="H38" s="130">
        <f>D26*0.003*$C$17</f>
        <v>0</v>
      </c>
      <c r="I38" s="157"/>
      <c r="J38" s="130"/>
      <c r="K38" s="130" t="s">
        <v>266</v>
      </c>
      <c r="L38" s="147"/>
      <c r="M38" s="3"/>
      <c r="N38" s="3"/>
      <c r="O38" s="3"/>
      <c r="P38" s="3"/>
      <c r="Q38" s="3"/>
      <c r="R38" s="3"/>
      <c r="S38" s="3"/>
      <c r="T38" s="3"/>
      <c r="U38" s="3"/>
      <c r="V38" s="3"/>
    </row>
    <row r="39" spans="2:22" ht="15.75">
      <c r="B39" s="163" t="s">
        <v>262</v>
      </c>
      <c r="C39" s="320">
        <v>0.003</v>
      </c>
      <c r="D39" s="130"/>
      <c r="E39" s="164"/>
      <c r="F39" s="130" t="s">
        <v>86</v>
      </c>
      <c r="G39" s="130"/>
      <c r="H39" s="130">
        <f>SUM(H35:H38)</f>
        <v>0</v>
      </c>
      <c r="I39" s="157"/>
      <c r="J39" s="130"/>
      <c r="K39" s="130" t="s">
        <v>268</v>
      </c>
      <c r="L39" s="147"/>
      <c r="M39" s="3"/>
      <c r="N39" s="3"/>
      <c r="O39" s="3"/>
      <c r="P39" s="3"/>
      <c r="Q39" s="3"/>
      <c r="R39" s="3"/>
      <c r="S39" s="3"/>
      <c r="T39" s="3"/>
      <c r="U39" s="3"/>
      <c r="V39" s="3"/>
    </row>
    <row r="40" spans="2:22" ht="15.75">
      <c r="B40" s="164" t="s">
        <v>263</v>
      </c>
      <c r="C40" s="157">
        <v>0.0125</v>
      </c>
      <c r="D40" s="130"/>
      <c r="E40" s="164"/>
      <c r="F40" s="130"/>
      <c r="G40" s="130"/>
      <c r="H40" s="130"/>
      <c r="I40" s="157"/>
      <c r="J40" s="130"/>
      <c r="K40" s="130"/>
      <c r="L40" s="147"/>
      <c r="M40" s="3"/>
      <c r="N40" s="3"/>
      <c r="O40" s="3"/>
      <c r="P40" s="3"/>
      <c r="Q40" s="3"/>
      <c r="R40" s="3"/>
      <c r="S40" s="3"/>
      <c r="T40" s="3"/>
      <c r="U40" s="3"/>
      <c r="V40" s="3"/>
    </row>
    <row r="41" spans="2:22" ht="15.75">
      <c r="B41" s="164" t="s">
        <v>264</v>
      </c>
      <c r="C41" s="157">
        <v>0.005</v>
      </c>
      <c r="D41" s="130"/>
      <c r="E41" s="163" t="s">
        <v>122</v>
      </c>
      <c r="F41" s="130" t="s">
        <v>32</v>
      </c>
      <c r="G41" s="130"/>
      <c r="H41" s="130">
        <f>D28*0.004*$C$17</f>
        <v>0</v>
      </c>
      <c r="I41" s="157"/>
      <c r="J41" s="130"/>
      <c r="K41" s="130" t="s">
        <v>266</v>
      </c>
      <c r="L41" s="147"/>
      <c r="M41" s="3"/>
      <c r="N41" s="3"/>
      <c r="O41" s="3"/>
      <c r="P41" s="3"/>
      <c r="Q41" s="3"/>
      <c r="R41" s="3"/>
      <c r="S41" s="3"/>
      <c r="T41" s="3"/>
      <c r="U41" s="3"/>
      <c r="V41" s="3"/>
    </row>
    <row r="42" spans="2:22" ht="15.75">
      <c r="B42" s="166" t="s">
        <v>265</v>
      </c>
      <c r="C42" s="184">
        <v>0.021</v>
      </c>
      <c r="D42" s="130"/>
      <c r="E42" s="164"/>
      <c r="F42" s="130" t="s">
        <v>33</v>
      </c>
      <c r="G42" s="130"/>
      <c r="H42" s="130">
        <f>D29*0.004*$C$17</f>
        <v>0</v>
      </c>
      <c r="I42" s="157"/>
      <c r="J42" s="130"/>
      <c r="K42" s="130" t="s">
        <v>266</v>
      </c>
      <c r="L42" s="147"/>
      <c r="M42" s="3"/>
      <c r="N42" s="3"/>
      <c r="O42" s="3"/>
      <c r="P42" s="3"/>
      <c r="Q42" s="3"/>
      <c r="R42" s="3"/>
      <c r="S42" s="3"/>
      <c r="T42" s="3"/>
      <c r="U42" s="3"/>
      <c r="V42" s="3"/>
    </row>
    <row r="43" spans="2:22" ht="15.75">
      <c r="B43" s="130"/>
      <c r="C43" s="130"/>
      <c r="D43" s="130"/>
      <c r="E43" s="164"/>
      <c r="F43" s="130" t="s">
        <v>34</v>
      </c>
      <c r="G43" s="130"/>
      <c r="H43" s="130">
        <f>D30*0.004*$C$17</f>
        <v>0</v>
      </c>
      <c r="I43" s="157"/>
      <c r="J43" s="130"/>
      <c r="K43" s="130" t="s">
        <v>266</v>
      </c>
      <c r="L43" s="147"/>
      <c r="M43" s="3"/>
      <c r="N43" s="3"/>
      <c r="O43" s="3"/>
      <c r="P43" s="3"/>
      <c r="Q43" s="3"/>
      <c r="R43" s="3"/>
      <c r="S43" s="3"/>
      <c r="T43" s="3"/>
      <c r="U43" s="3"/>
      <c r="V43" s="3"/>
    </row>
    <row r="44" spans="2:22" ht="15.75">
      <c r="B44" s="130"/>
      <c r="C44" s="130"/>
      <c r="D44" s="130"/>
      <c r="E44" s="164"/>
      <c r="F44" s="130" t="s">
        <v>35</v>
      </c>
      <c r="G44" s="130"/>
      <c r="H44" s="130">
        <f>D31*0.004*$C$17</f>
        <v>0</v>
      </c>
      <c r="I44" s="157"/>
      <c r="J44" s="130"/>
      <c r="K44" s="130" t="s">
        <v>266</v>
      </c>
      <c r="L44" s="147"/>
      <c r="M44" s="3"/>
      <c r="N44" s="3"/>
      <c r="O44" s="3"/>
      <c r="P44" s="3"/>
      <c r="Q44" s="3"/>
      <c r="R44" s="3"/>
      <c r="S44" s="3"/>
      <c r="T44" s="3"/>
      <c r="U44" s="3"/>
      <c r="V44" s="3"/>
    </row>
    <row r="45" spans="2:22" ht="15.75">
      <c r="B45" s="130"/>
      <c r="C45" s="130"/>
      <c r="D45" s="130"/>
      <c r="E45" s="166"/>
      <c r="F45" s="137" t="s">
        <v>86</v>
      </c>
      <c r="G45" s="137"/>
      <c r="H45" s="137">
        <f>SUM(H41:H44)</f>
        <v>0</v>
      </c>
      <c r="I45" s="184"/>
      <c r="J45" s="130"/>
      <c r="K45" s="130" t="s">
        <v>268</v>
      </c>
      <c r="L45" s="147"/>
      <c r="M45" s="3"/>
      <c r="N45" s="3"/>
      <c r="O45" s="3"/>
      <c r="P45" s="3"/>
      <c r="Q45" s="3"/>
      <c r="R45" s="3"/>
      <c r="S45" s="3"/>
      <c r="T45" s="3"/>
      <c r="U45" s="3"/>
      <c r="V45" s="3"/>
    </row>
    <row r="46" spans="2:22" ht="15.75">
      <c r="B46" s="130"/>
      <c r="C46" s="130"/>
      <c r="D46" s="130"/>
      <c r="E46" s="133"/>
      <c r="F46" s="133"/>
      <c r="G46" s="130"/>
      <c r="H46" s="130"/>
      <c r="I46" s="130"/>
      <c r="J46" s="130"/>
      <c r="K46" s="130"/>
      <c r="L46" s="147"/>
      <c r="M46" s="3"/>
      <c r="N46" s="3"/>
      <c r="O46" s="3"/>
      <c r="P46" s="3"/>
      <c r="Q46" s="3"/>
      <c r="R46" s="3"/>
      <c r="S46" s="3"/>
      <c r="T46" s="3"/>
      <c r="U46" s="3"/>
      <c r="V46" s="3"/>
    </row>
    <row r="47" spans="2:22" ht="15.75">
      <c r="B47" s="158" t="s">
        <v>267</v>
      </c>
      <c r="C47" s="130">
        <f>H39+H45</f>
        <v>0</v>
      </c>
      <c r="D47" s="130"/>
      <c r="E47" s="133"/>
      <c r="F47" s="133"/>
      <c r="G47" s="130"/>
      <c r="H47" s="130"/>
      <c r="I47" s="130"/>
      <c r="J47" s="130"/>
      <c r="K47" s="133" t="s">
        <v>239</v>
      </c>
      <c r="L47" s="147"/>
      <c r="M47" s="3"/>
      <c r="N47" s="3"/>
      <c r="O47" s="3"/>
      <c r="P47" s="3"/>
      <c r="Q47" s="3"/>
      <c r="R47" s="3"/>
      <c r="S47" s="3"/>
      <c r="T47" s="3"/>
      <c r="U47" s="3"/>
      <c r="V47" s="3"/>
    </row>
    <row r="48" spans="2:22" ht="15.75">
      <c r="B48" s="158" t="s">
        <v>267</v>
      </c>
      <c r="C48" s="130">
        <f>C47*310</f>
        <v>0</v>
      </c>
      <c r="D48" s="130"/>
      <c r="E48" s="133"/>
      <c r="F48" s="133"/>
      <c r="G48" s="130"/>
      <c r="H48" s="130"/>
      <c r="I48" s="130"/>
      <c r="J48" s="130"/>
      <c r="K48" s="133" t="s">
        <v>184</v>
      </c>
      <c r="L48" s="147"/>
      <c r="M48" s="3"/>
      <c r="N48" s="3"/>
      <c r="O48" s="3"/>
      <c r="P48" s="3"/>
      <c r="Q48" s="3"/>
      <c r="R48" s="3"/>
      <c r="S48" s="3"/>
      <c r="T48" s="3"/>
      <c r="U48" s="3"/>
      <c r="V48" s="3"/>
    </row>
    <row r="49" spans="2:22" ht="15.75">
      <c r="B49" s="158" t="s">
        <v>267</v>
      </c>
      <c r="C49" s="130">
        <f>C48*10^3</f>
        <v>0</v>
      </c>
      <c r="D49" s="130"/>
      <c r="E49" s="133"/>
      <c r="F49" s="133"/>
      <c r="G49" s="130"/>
      <c r="H49" s="130"/>
      <c r="I49" s="130"/>
      <c r="J49" s="130"/>
      <c r="K49" s="133" t="s">
        <v>185</v>
      </c>
      <c r="L49" s="147"/>
      <c r="M49" s="3"/>
      <c r="N49" s="3"/>
      <c r="O49" s="3"/>
      <c r="P49" s="3"/>
      <c r="Q49" s="3"/>
      <c r="R49" s="3"/>
      <c r="S49" s="3"/>
      <c r="T49" s="3"/>
      <c r="U49" s="3"/>
      <c r="V49" s="3"/>
    </row>
    <row r="50" spans="2:22" ht="15.75">
      <c r="B50" s="130"/>
      <c r="C50" s="130"/>
      <c r="D50" s="130"/>
      <c r="E50" s="133"/>
      <c r="F50" s="133"/>
      <c r="G50" s="130"/>
      <c r="H50" s="130"/>
      <c r="I50" s="130"/>
      <c r="J50" s="130"/>
      <c r="K50" s="130"/>
      <c r="L50" s="147"/>
      <c r="M50" s="3"/>
      <c r="N50" s="3"/>
      <c r="O50" s="3"/>
      <c r="P50" s="3"/>
      <c r="Q50" s="3"/>
      <c r="R50" s="3"/>
      <c r="S50" s="3"/>
      <c r="T50" s="3"/>
      <c r="U50" s="3"/>
      <c r="V50" s="3"/>
    </row>
    <row r="51" spans="2:22" ht="15.75">
      <c r="B51" s="130"/>
      <c r="C51" s="130"/>
      <c r="D51" s="130"/>
      <c r="E51" s="133"/>
      <c r="F51" s="133"/>
      <c r="G51" s="130"/>
      <c r="H51" s="130"/>
      <c r="I51" s="130"/>
      <c r="J51" s="130"/>
      <c r="K51" s="130"/>
      <c r="L51" s="147"/>
      <c r="M51" s="3"/>
      <c r="N51" s="3"/>
      <c r="O51" s="3"/>
      <c r="P51" s="3"/>
      <c r="Q51" s="3"/>
      <c r="R51" s="3"/>
      <c r="S51" s="3"/>
      <c r="T51" s="3"/>
      <c r="U51" s="3"/>
      <c r="V51" s="3"/>
    </row>
    <row r="52" spans="2:22" ht="15.75">
      <c r="B52" s="130"/>
      <c r="C52" s="130"/>
      <c r="D52" s="130"/>
      <c r="E52" s="133"/>
      <c r="F52" s="133"/>
      <c r="G52" s="130"/>
      <c r="H52" s="130"/>
      <c r="I52" s="130"/>
      <c r="J52" s="130"/>
      <c r="K52" s="130"/>
      <c r="L52" s="129"/>
      <c r="M52" s="3"/>
      <c r="N52" s="3"/>
      <c r="O52" s="3"/>
      <c r="P52" s="3"/>
      <c r="Q52" s="3"/>
      <c r="R52" s="3"/>
      <c r="S52" s="3"/>
      <c r="T52" s="3"/>
      <c r="U52" s="3"/>
      <c r="V52" s="3"/>
    </row>
    <row r="53" spans="2:22" ht="15.75">
      <c r="B53" s="160" t="s">
        <v>269</v>
      </c>
      <c r="C53" s="161"/>
      <c r="D53" s="161"/>
      <c r="E53" s="162"/>
      <c r="F53" s="161"/>
      <c r="G53" s="161"/>
      <c r="H53" s="161"/>
      <c r="I53" s="161"/>
      <c r="J53" s="161"/>
      <c r="K53" s="161"/>
      <c r="L53" s="149" t="s">
        <v>318</v>
      </c>
      <c r="M53" s="48"/>
      <c r="N53" s="48"/>
      <c r="O53" s="48"/>
      <c r="P53" s="48"/>
      <c r="Q53" s="3"/>
      <c r="R53" s="3"/>
      <c r="S53" s="3"/>
      <c r="T53" s="3"/>
      <c r="U53" s="3"/>
      <c r="V53" s="3"/>
    </row>
    <row r="54" spans="2:22" ht="15.75">
      <c r="B54" s="163" t="s">
        <v>270</v>
      </c>
      <c r="C54" s="130"/>
      <c r="D54" s="136" t="s">
        <v>321</v>
      </c>
      <c r="E54" s="130"/>
      <c r="F54" s="130"/>
      <c r="G54" s="130"/>
      <c r="H54" s="130"/>
      <c r="I54" s="130"/>
      <c r="J54" s="130"/>
      <c r="K54" s="130"/>
      <c r="L54" s="150"/>
      <c r="M54" s="48"/>
      <c r="N54" s="48"/>
      <c r="O54" s="48"/>
      <c r="P54" s="48"/>
      <c r="Q54" s="3"/>
      <c r="R54" s="3"/>
      <c r="S54" s="3"/>
      <c r="T54" s="3"/>
      <c r="U54" s="3"/>
      <c r="V54" s="3"/>
    </row>
    <row r="55" spans="2:22" ht="15.75">
      <c r="B55" s="164"/>
      <c r="C55" s="165"/>
      <c r="D55" s="130" t="s">
        <v>322</v>
      </c>
      <c r="E55" s="130"/>
      <c r="F55" s="130">
        <f>0</f>
        <v>0</v>
      </c>
      <c r="G55" s="130"/>
      <c r="H55" s="130"/>
      <c r="I55" s="130"/>
      <c r="J55" s="130"/>
      <c r="K55" s="130"/>
      <c r="L55" s="151"/>
      <c r="M55" s="49"/>
      <c r="N55" s="49"/>
      <c r="O55" s="49"/>
      <c r="P55" s="49"/>
      <c r="Q55" s="3"/>
      <c r="R55" s="125"/>
      <c r="S55" s="3"/>
      <c r="T55" s="3"/>
      <c r="U55" s="3"/>
      <c r="V55" s="3"/>
    </row>
    <row r="56" spans="2:22" ht="15.75">
      <c r="B56" s="164"/>
      <c r="C56" s="165"/>
      <c r="D56" s="130"/>
      <c r="E56" s="130"/>
      <c r="F56" s="130"/>
      <c r="G56" s="130"/>
      <c r="H56" s="130"/>
      <c r="I56" s="130"/>
      <c r="J56" s="130"/>
      <c r="K56" s="130"/>
      <c r="L56" s="151"/>
      <c r="M56" s="48"/>
      <c r="N56" s="48"/>
      <c r="O56" s="48"/>
      <c r="P56" s="48"/>
      <c r="Q56" s="3"/>
      <c r="R56" s="3"/>
      <c r="S56" s="3"/>
      <c r="T56" s="3"/>
      <c r="U56" s="3"/>
      <c r="V56" s="3"/>
    </row>
    <row r="57" spans="2:22" ht="15.75">
      <c r="B57" s="166" t="s">
        <v>271</v>
      </c>
      <c r="C57" s="167"/>
      <c r="D57" s="168" t="s">
        <v>272</v>
      </c>
      <c r="E57" s="137"/>
      <c r="F57" s="137">
        <f>0</f>
        <v>0</v>
      </c>
      <c r="G57" s="137"/>
      <c r="H57" s="137"/>
      <c r="I57" s="137"/>
      <c r="J57" s="137"/>
      <c r="K57" s="137"/>
      <c r="L57" s="152" t="s">
        <v>273</v>
      </c>
      <c r="M57" s="3"/>
      <c r="N57" s="3"/>
      <c r="O57" s="3"/>
      <c r="P57" s="3"/>
      <c r="Q57" s="3"/>
      <c r="R57" s="3"/>
      <c r="S57" s="3"/>
      <c r="T57" s="3"/>
      <c r="U57" s="3"/>
      <c r="V57" s="3"/>
    </row>
    <row r="58" spans="2:22" ht="15.75">
      <c r="B58" s="133"/>
      <c r="C58" s="133"/>
      <c r="D58" s="133"/>
      <c r="E58" s="133"/>
      <c r="F58" s="133"/>
      <c r="G58" s="133"/>
      <c r="H58" s="133"/>
      <c r="I58" s="133"/>
      <c r="J58" s="133"/>
      <c r="K58" s="133"/>
      <c r="L58" s="147"/>
      <c r="M58" s="3"/>
      <c r="N58" s="3"/>
      <c r="O58" s="3"/>
      <c r="P58" s="3"/>
      <c r="Q58" s="3"/>
      <c r="R58" s="3"/>
      <c r="S58" s="3"/>
      <c r="T58" s="3"/>
      <c r="U58" s="3"/>
      <c r="V58" s="3"/>
    </row>
    <row r="59" spans="2:22" ht="15.75">
      <c r="B59" s="133"/>
      <c r="C59" s="169"/>
      <c r="D59" s="133"/>
      <c r="E59" s="133"/>
      <c r="F59" s="133"/>
      <c r="G59" s="133"/>
      <c r="H59" s="133"/>
      <c r="I59" s="133"/>
      <c r="J59" s="133"/>
      <c r="K59" s="133"/>
      <c r="L59" s="147"/>
      <c r="M59" s="3"/>
      <c r="N59" s="3"/>
      <c r="O59" s="3"/>
      <c r="P59" s="3"/>
      <c r="Q59" s="3"/>
      <c r="R59" s="3"/>
      <c r="S59" s="3"/>
      <c r="T59" s="3"/>
      <c r="U59" s="3"/>
      <c r="V59" s="3"/>
    </row>
    <row r="60" spans="2:22" ht="15.75">
      <c r="B60" s="158" t="s">
        <v>274</v>
      </c>
      <c r="C60" s="133"/>
      <c r="D60" s="158" t="s">
        <v>275</v>
      </c>
      <c r="E60" s="133"/>
      <c r="F60" s="133"/>
      <c r="G60" s="133"/>
      <c r="H60" s="133"/>
      <c r="I60" s="133"/>
      <c r="J60" s="133"/>
      <c r="K60" s="133"/>
      <c r="L60" s="139" t="s">
        <v>276</v>
      </c>
      <c r="M60" s="3"/>
      <c r="N60" s="3"/>
      <c r="O60" s="3"/>
      <c r="P60" s="3"/>
      <c r="Q60" s="3"/>
      <c r="R60" s="3"/>
      <c r="S60" s="3"/>
      <c r="T60" s="3"/>
      <c r="U60" s="3"/>
      <c r="V60" s="3"/>
    </row>
    <row r="61" spans="2:22" ht="15.75">
      <c r="B61" s="133"/>
      <c r="C61" s="133"/>
      <c r="D61" s="133" t="s">
        <v>277</v>
      </c>
      <c r="E61" s="133"/>
      <c r="F61" s="133"/>
      <c r="G61" s="133"/>
      <c r="H61" s="133"/>
      <c r="I61" s="133"/>
      <c r="J61" s="133"/>
      <c r="K61" s="170" t="s">
        <v>278</v>
      </c>
      <c r="L61" s="140" t="s">
        <v>279</v>
      </c>
      <c r="M61" s="55"/>
      <c r="N61" s="3"/>
      <c r="O61" s="3"/>
      <c r="P61" s="3"/>
      <c r="Q61" s="3"/>
      <c r="R61" s="3"/>
      <c r="S61" s="3"/>
      <c r="T61" s="3"/>
      <c r="U61" s="3"/>
      <c r="V61" s="3"/>
    </row>
    <row r="62" spans="2:22" ht="15.75">
      <c r="B62" s="133"/>
      <c r="C62" s="133"/>
      <c r="D62" s="133" t="s">
        <v>280</v>
      </c>
      <c r="E62" s="133"/>
      <c r="F62" s="133"/>
      <c r="G62" s="133"/>
      <c r="H62" s="133"/>
      <c r="I62" s="133"/>
      <c r="J62" s="133"/>
      <c r="K62" s="170" t="s">
        <v>281</v>
      </c>
      <c r="L62" s="139"/>
      <c r="M62" s="3"/>
      <c r="N62" s="3"/>
      <c r="O62" s="3"/>
      <c r="P62" s="3"/>
      <c r="Q62" s="3"/>
      <c r="R62" s="3"/>
      <c r="S62" s="3"/>
      <c r="T62" s="3"/>
      <c r="U62" s="3"/>
      <c r="V62" s="3"/>
    </row>
    <row r="63" spans="2:22" ht="15.75">
      <c r="B63" s="133"/>
      <c r="C63" s="133"/>
      <c r="D63" s="133" t="s">
        <v>282</v>
      </c>
      <c r="E63" s="133"/>
      <c r="F63" s="133"/>
      <c r="G63" s="133"/>
      <c r="H63" s="133"/>
      <c r="I63" s="133"/>
      <c r="J63" s="133"/>
      <c r="K63" s="133" t="s">
        <v>283</v>
      </c>
      <c r="L63" s="139"/>
      <c r="M63" s="52"/>
      <c r="N63" s="3"/>
      <c r="O63" s="3"/>
      <c r="P63" s="3"/>
      <c r="Q63" s="3"/>
      <c r="R63" s="3"/>
      <c r="S63" s="3"/>
      <c r="T63" s="3"/>
      <c r="U63" s="3"/>
      <c r="V63" s="3"/>
    </row>
    <row r="64" spans="2:22" ht="15.75">
      <c r="B64" s="133"/>
      <c r="C64" s="133"/>
      <c r="D64" s="133" t="s">
        <v>284</v>
      </c>
      <c r="E64" s="133"/>
      <c r="F64" s="133"/>
      <c r="G64" s="133"/>
      <c r="H64" s="133"/>
      <c r="I64" s="133"/>
      <c r="J64" s="133"/>
      <c r="K64" s="133" t="s">
        <v>285</v>
      </c>
      <c r="L64" s="139"/>
      <c r="T64" s="3"/>
      <c r="U64" s="3"/>
      <c r="V64" s="3"/>
    </row>
    <row r="65" spans="2:22" ht="15.75">
      <c r="B65" s="133"/>
      <c r="C65" s="133"/>
      <c r="D65" s="133" t="s">
        <v>286</v>
      </c>
      <c r="E65" s="133"/>
      <c r="F65" s="133"/>
      <c r="G65" s="133"/>
      <c r="H65" s="133"/>
      <c r="I65" s="133"/>
      <c r="J65" s="133"/>
      <c r="K65" s="133"/>
      <c r="L65" s="139"/>
      <c r="T65" s="3"/>
      <c r="U65" s="3"/>
      <c r="V65" s="3"/>
    </row>
    <row r="66" spans="2:22" ht="15.75">
      <c r="B66" s="133"/>
      <c r="C66" s="133"/>
      <c r="D66" s="133" t="s">
        <v>287</v>
      </c>
      <c r="E66" s="133"/>
      <c r="F66" s="133"/>
      <c r="G66" s="133"/>
      <c r="H66" s="133"/>
      <c r="I66" s="133"/>
      <c r="J66" s="133"/>
      <c r="K66" s="133"/>
      <c r="L66" s="139"/>
      <c r="T66" s="3"/>
      <c r="U66" s="3"/>
      <c r="V66" s="3"/>
    </row>
    <row r="67" spans="2:22" ht="15.75">
      <c r="B67" s="133"/>
      <c r="C67" s="133"/>
      <c r="D67" s="133"/>
      <c r="E67" s="133"/>
      <c r="F67" s="133"/>
      <c r="G67" s="133"/>
      <c r="H67" s="133"/>
      <c r="I67" s="133"/>
      <c r="J67" s="133"/>
      <c r="K67" s="133"/>
      <c r="L67" s="139"/>
      <c r="T67" s="3"/>
      <c r="U67" s="3"/>
      <c r="V67" s="3"/>
    </row>
    <row r="68" spans="2:22" ht="15.75">
      <c r="B68" s="158" t="s">
        <v>288</v>
      </c>
      <c r="C68" s="133"/>
      <c r="D68" s="158" t="s">
        <v>289</v>
      </c>
      <c r="E68" s="133"/>
      <c r="F68" s="133"/>
      <c r="G68" s="133"/>
      <c r="H68" s="133"/>
      <c r="I68" s="133"/>
      <c r="J68" s="133"/>
      <c r="K68" s="133" t="s">
        <v>290</v>
      </c>
      <c r="L68" s="139" t="s">
        <v>291</v>
      </c>
      <c r="T68" s="3"/>
      <c r="U68" s="3"/>
      <c r="V68" s="3"/>
    </row>
    <row r="69" spans="2:22" ht="15.75">
      <c r="B69" s="133"/>
      <c r="C69" s="133"/>
      <c r="D69" s="133" t="s">
        <v>292</v>
      </c>
      <c r="E69" s="133"/>
      <c r="F69" s="133"/>
      <c r="G69" s="133"/>
      <c r="H69" s="133"/>
      <c r="I69" s="133"/>
      <c r="J69" s="133"/>
      <c r="K69" s="133" t="s">
        <v>256</v>
      </c>
      <c r="L69" s="140" t="s">
        <v>279</v>
      </c>
      <c r="T69" s="3"/>
      <c r="U69" s="3"/>
      <c r="V69" s="3"/>
    </row>
    <row r="70" spans="2:22" ht="15.75">
      <c r="B70" s="133"/>
      <c r="C70" s="133"/>
      <c r="D70" s="133"/>
      <c r="E70" s="133"/>
      <c r="F70" s="133"/>
      <c r="G70" s="133"/>
      <c r="H70" s="133"/>
      <c r="I70" s="133"/>
      <c r="J70" s="133"/>
      <c r="K70" s="133"/>
      <c r="L70" s="139"/>
      <c r="T70" s="3"/>
      <c r="U70" s="3"/>
      <c r="V70" s="3"/>
    </row>
    <row r="71" spans="2:22" ht="15.75">
      <c r="B71" s="133"/>
      <c r="C71" s="133"/>
      <c r="D71" s="133"/>
      <c r="E71" s="133"/>
      <c r="F71" s="133"/>
      <c r="G71" s="133"/>
      <c r="H71" s="133"/>
      <c r="I71" s="133"/>
      <c r="J71" s="133"/>
      <c r="K71" s="133"/>
      <c r="L71" s="139"/>
      <c r="T71" s="3"/>
      <c r="U71" s="3"/>
      <c r="V71" s="3"/>
    </row>
    <row r="72" spans="2:22" ht="15.75">
      <c r="B72" s="158" t="s">
        <v>293</v>
      </c>
      <c r="C72" s="133"/>
      <c r="D72" s="133"/>
      <c r="E72" s="133"/>
      <c r="F72" s="133"/>
      <c r="G72" s="133"/>
      <c r="H72" s="133"/>
      <c r="I72" s="133"/>
      <c r="J72" s="133"/>
      <c r="K72" s="133"/>
      <c r="L72" s="139"/>
      <c r="T72" s="3"/>
      <c r="U72" s="3"/>
      <c r="V72" s="3"/>
    </row>
    <row r="73" spans="2:22" ht="15.75">
      <c r="B73" s="158" t="s">
        <v>294</v>
      </c>
      <c r="C73" s="133"/>
      <c r="D73" s="158" t="s">
        <v>295</v>
      </c>
      <c r="E73" s="133"/>
      <c r="F73" s="133"/>
      <c r="G73" s="133"/>
      <c r="H73" s="133"/>
      <c r="I73" s="133"/>
      <c r="J73" s="133"/>
      <c r="K73" s="133"/>
      <c r="L73" s="139" t="s">
        <v>296</v>
      </c>
      <c r="T73" s="3"/>
      <c r="U73" s="3"/>
      <c r="V73" s="3"/>
    </row>
    <row r="74" spans="2:22" ht="15.75">
      <c r="B74" s="133"/>
      <c r="C74" s="133"/>
      <c r="D74" s="133" t="s">
        <v>297</v>
      </c>
      <c r="E74" s="133"/>
      <c r="F74" s="133"/>
      <c r="G74" s="133"/>
      <c r="H74" s="133"/>
      <c r="I74" s="133"/>
      <c r="J74" s="133"/>
      <c r="K74" s="133"/>
      <c r="L74" s="140" t="s">
        <v>279</v>
      </c>
      <c r="T74" s="3"/>
      <c r="U74" s="3"/>
      <c r="V74" s="3"/>
    </row>
    <row r="75" spans="2:22" ht="15.75">
      <c r="B75" s="133"/>
      <c r="C75" s="133"/>
      <c r="D75" s="133" t="s">
        <v>298</v>
      </c>
      <c r="E75" s="133"/>
      <c r="F75" s="133"/>
      <c r="G75" s="133"/>
      <c r="H75" s="133"/>
      <c r="I75" s="133"/>
      <c r="J75" s="133"/>
      <c r="K75" s="133"/>
      <c r="L75" s="139"/>
      <c r="T75" s="3"/>
      <c r="U75" s="3"/>
      <c r="V75" s="3"/>
    </row>
    <row r="76" spans="2:22" ht="15.75">
      <c r="B76" s="133"/>
      <c r="C76" s="133"/>
      <c r="D76" s="133" t="s">
        <v>299</v>
      </c>
      <c r="E76" s="133"/>
      <c r="F76" s="133"/>
      <c r="G76" s="133"/>
      <c r="H76" s="133"/>
      <c r="I76" s="133"/>
      <c r="J76" s="133"/>
      <c r="K76" s="133"/>
      <c r="L76" s="139"/>
      <c r="T76" s="3"/>
      <c r="U76" s="3"/>
      <c r="V76" s="3"/>
    </row>
    <row r="77" spans="2:22" ht="15.75">
      <c r="B77" s="133"/>
      <c r="C77" s="133"/>
      <c r="D77" s="133"/>
      <c r="E77" s="133"/>
      <c r="F77" s="133"/>
      <c r="G77" s="133"/>
      <c r="H77" s="133"/>
      <c r="I77" s="133"/>
      <c r="J77" s="133"/>
      <c r="K77" s="133"/>
      <c r="L77" s="139"/>
      <c r="T77" s="3"/>
      <c r="U77" s="3"/>
      <c r="V77" s="3"/>
    </row>
    <row r="78" spans="2:22" ht="15.75">
      <c r="B78" s="158" t="s">
        <v>300</v>
      </c>
      <c r="C78" s="133"/>
      <c r="D78" s="158" t="s">
        <v>289</v>
      </c>
      <c r="E78" s="133"/>
      <c r="F78" s="133"/>
      <c r="G78" s="133"/>
      <c r="H78" s="133"/>
      <c r="I78" s="133"/>
      <c r="J78" s="133"/>
      <c r="K78" s="133" t="s">
        <v>290</v>
      </c>
      <c r="L78" s="139" t="s">
        <v>301</v>
      </c>
      <c r="T78" s="3"/>
      <c r="U78" s="3"/>
      <c r="V78" s="3"/>
    </row>
    <row r="79" spans="2:22" ht="15.75">
      <c r="B79" s="133"/>
      <c r="C79" s="133"/>
      <c r="D79" s="133" t="s">
        <v>292</v>
      </c>
      <c r="E79" s="133"/>
      <c r="F79" s="133"/>
      <c r="G79" s="133"/>
      <c r="H79" s="133"/>
      <c r="I79" s="133"/>
      <c r="J79" s="133"/>
      <c r="K79" s="133" t="s">
        <v>256</v>
      </c>
      <c r="L79" s="140" t="s">
        <v>279</v>
      </c>
      <c r="T79" s="3"/>
      <c r="U79" s="3"/>
      <c r="V79" s="3"/>
    </row>
    <row r="80" spans="2:22" ht="15.75">
      <c r="B80" s="133"/>
      <c r="C80" s="133"/>
      <c r="D80" s="133"/>
      <c r="E80" s="133"/>
      <c r="F80" s="133"/>
      <c r="G80" s="133"/>
      <c r="H80" s="133"/>
      <c r="I80" s="133"/>
      <c r="J80" s="133"/>
      <c r="K80" s="133"/>
      <c r="L80" s="139"/>
      <c r="T80" s="3"/>
      <c r="U80" s="3"/>
      <c r="V80" s="3"/>
    </row>
    <row r="81" spans="2:22" ht="15.75">
      <c r="B81" s="133"/>
      <c r="C81" s="133"/>
      <c r="D81" s="133"/>
      <c r="E81" s="133"/>
      <c r="F81" s="133"/>
      <c r="G81" s="133"/>
      <c r="H81" s="133"/>
      <c r="I81" s="133"/>
      <c r="J81" s="133"/>
      <c r="K81" s="133"/>
      <c r="L81" s="139"/>
      <c r="T81" s="3"/>
      <c r="U81" s="3"/>
      <c r="V81" s="3"/>
    </row>
    <row r="82" spans="2:22" ht="15.75">
      <c r="B82" s="133"/>
      <c r="C82" s="133"/>
      <c r="D82" s="133"/>
      <c r="E82" s="133"/>
      <c r="F82" s="133"/>
      <c r="G82" s="133"/>
      <c r="H82" s="133"/>
      <c r="I82" s="133"/>
      <c r="J82" s="133"/>
      <c r="K82" s="133"/>
      <c r="L82" s="139"/>
      <c r="T82" s="3"/>
      <c r="U82" s="3"/>
      <c r="V82" s="3"/>
    </row>
    <row r="83" spans="2:22" ht="15.75">
      <c r="B83" s="158" t="s">
        <v>302</v>
      </c>
      <c r="C83" s="133"/>
      <c r="D83" s="158" t="s">
        <v>303</v>
      </c>
      <c r="E83" s="133"/>
      <c r="F83" s="133"/>
      <c r="G83" s="133"/>
      <c r="H83" s="133"/>
      <c r="I83" s="133"/>
      <c r="J83" s="133"/>
      <c r="K83" s="133" t="s">
        <v>290</v>
      </c>
      <c r="L83" s="139" t="s">
        <v>304</v>
      </c>
      <c r="T83" s="3"/>
      <c r="U83" s="3"/>
      <c r="V83" s="3"/>
    </row>
    <row r="84" spans="2:22" ht="15.75">
      <c r="B84" s="133"/>
      <c r="C84" s="133"/>
      <c r="D84" s="133" t="s">
        <v>305</v>
      </c>
      <c r="E84" s="133"/>
      <c r="F84" s="133"/>
      <c r="G84" s="133"/>
      <c r="H84" s="133"/>
      <c r="I84" s="133"/>
      <c r="J84" s="133"/>
      <c r="K84" s="133" t="s">
        <v>23</v>
      </c>
      <c r="L84" s="140" t="s">
        <v>279</v>
      </c>
      <c r="T84" s="3"/>
      <c r="U84" s="3"/>
      <c r="V84" s="3"/>
    </row>
    <row r="85" spans="2:22" ht="15.75">
      <c r="B85" s="133"/>
      <c r="C85" s="133"/>
      <c r="D85" s="133" t="s">
        <v>306</v>
      </c>
      <c r="E85" s="133"/>
      <c r="F85" s="133"/>
      <c r="G85" s="133"/>
      <c r="H85" s="133"/>
      <c r="I85" s="133"/>
      <c r="J85" s="133"/>
      <c r="K85" s="133" t="s">
        <v>307</v>
      </c>
      <c r="L85" s="139"/>
      <c r="T85" s="3"/>
      <c r="U85" s="3"/>
      <c r="V85" s="3"/>
    </row>
    <row r="86" spans="2:22" ht="15.75">
      <c r="B86" s="133"/>
      <c r="C86" s="158"/>
      <c r="D86" s="133"/>
      <c r="E86" s="133"/>
      <c r="F86" s="133"/>
      <c r="G86" s="133"/>
      <c r="H86" s="133"/>
      <c r="I86" s="133"/>
      <c r="J86" s="133"/>
      <c r="K86" s="133"/>
      <c r="L86" s="139"/>
      <c r="T86" s="3"/>
      <c r="U86" s="3"/>
      <c r="V86" s="3"/>
    </row>
    <row r="87" spans="2:22" ht="15.75">
      <c r="B87" s="133"/>
      <c r="C87" s="130"/>
      <c r="D87" s="130"/>
      <c r="E87" s="171"/>
      <c r="F87" s="170"/>
      <c r="G87" s="133"/>
      <c r="H87" s="133"/>
      <c r="I87" s="133"/>
      <c r="J87" s="133"/>
      <c r="K87" s="133"/>
      <c r="L87" s="139"/>
      <c r="T87" s="3"/>
      <c r="U87" s="3"/>
      <c r="V87" s="3"/>
    </row>
    <row r="88" spans="2:22" ht="15.75">
      <c r="B88" s="133"/>
      <c r="C88" s="133"/>
      <c r="D88" s="133"/>
      <c r="E88" s="133"/>
      <c r="F88" s="133"/>
      <c r="G88" s="133"/>
      <c r="H88" s="133"/>
      <c r="I88" s="133"/>
      <c r="J88" s="133"/>
      <c r="K88" s="133"/>
      <c r="L88" s="139"/>
      <c r="T88" s="3"/>
      <c r="U88" s="3"/>
      <c r="V88" s="3"/>
    </row>
    <row r="89" spans="2:12" ht="15.75">
      <c r="B89" s="158" t="s">
        <v>308</v>
      </c>
      <c r="C89" s="133"/>
      <c r="D89" s="133"/>
      <c r="E89" s="133"/>
      <c r="F89" s="133"/>
      <c r="G89" s="133"/>
      <c r="H89" s="133"/>
      <c r="I89" s="133"/>
      <c r="J89" s="133"/>
      <c r="K89" s="133"/>
      <c r="L89" s="139"/>
    </row>
    <row r="90" spans="2:12" ht="15.75">
      <c r="B90" s="158" t="s">
        <v>309</v>
      </c>
      <c r="C90" s="133"/>
      <c r="D90" s="133"/>
      <c r="E90" s="133"/>
      <c r="F90" s="133"/>
      <c r="G90" s="133"/>
      <c r="H90" s="133"/>
      <c r="I90" s="133"/>
      <c r="J90" s="133"/>
      <c r="K90" s="133"/>
      <c r="L90" s="139" t="s">
        <v>310</v>
      </c>
    </row>
    <row r="91" spans="2:12" ht="15.75">
      <c r="B91" s="133"/>
      <c r="C91" s="133"/>
      <c r="D91" s="158" t="s">
        <v>311</v>
      </c>
      <c r="E91" s="133"/>
      <c r="F91" s="133"/>
      <c r="G91" s="133"/>
      <c r="H91" s="133"/>
      <c r="I91" s="133"/>
      <c r="J91" s="133"/>
      <c r="K91" s="133"/>
      <c r="L91" s="139" t="s">
        <v>312</v>
      </c>
    </row>
    <row r="92" spans="2:28" ht="15.75">
      <c r="B92" s="133"/>
      <c r="C92" s="133"/>
      <c r="D92" s="138" t="str">
        <f>'Data input'!D3</f>
        <v>Bulls &gt;1</v>
      </c>
      <c r="E92" s="138" t="str">
        <f>'Data input'!E3</f>
        <v>Bulls&lt;1</v>
      </c>
      <c r="F92" s="138" t="str">
        <f>'Data input'!F3</f>
        <v>Steers&lt;1</v>
      </c>
      <c r="G92" s="138" t="str">
        <f>'Data input'!G3</f>
        <v>Cows 1 to 2</v>
      </c>
      <c r="H92" s="138" t="str">
        <f>'Data input'!H3</f>
        <v>Cows &gt;2</v>
      </c>
      <c r="I92" s="138" t="str">
        <f>'Data input'!I3</f>
        <v>Cows&lt;1</v>
      </c>
      <c r="J92" s="138" t="str">
        <f>'Data input'!J3</f>
        <v>Steers&gt;1</v>
      </c>
      <c r="K92" s="133"/>
      <c r="L92" s="129"/>
      <c r="N92" s="35"/>
      <c r="O92" s="35"/>
      <c r="P92" s="35"/>
      <c r="Q92" s="35"/>
      <c r="R92" s="35"/>
      <c r="S92" s="35"/>
      <c r="T92" s="35"/>
      <c r="U92" s="35"/>
      <c r="V92" s="35"/>
      <c r="W92" s="35"/>
      <c r="X92" s="35"/>
      <c r="Y92" s="35"/>
      <c r="Z92" s="35"/>
      <c r="AA92" s="35"/>
      <c r="AB92" s="35"/>
    </row>
    <row r="93" spans="2:28" ht="15.75">
      <c r="B93" s="158"/>
      <c r="C93" s="176" t="s">
        <v>32</v>
      </c>
      <c r="D93" s="172">
        <f>'Nitrous Oxide MMS'!O41*100%</f>
        <v>7.492847938490609E-05</v>
      </c>
      <c r="E93" s="172">
        <f>'Nitrous Oxide MMS'!P41*100%</f>
        <v>0</v>
      </c>
      <c r="F93" s="172">
        <f>'Nitrous Oxide MMS'!Q41*100%</f>
        <v>0.0008321345180369544</v>
      </c>
      <c r="G93" s="172">
        <f>'Nitrous Oxide MMS'!R41*100%</f>
        <v>0.0006749838408510418</v>
      </c>
      <c r="H93" s="172">
        <f>'Nitrous Oxide MMS'!S41*100%</f>
        <v>0.0022523432676070628</v>
      </c>
      <c r="I93" s="172">
        <f>'Nitrous Oxide MMS'!T41*100%</f>
        <v>0.0007624035411276066</v>
      </c>
      <c r="J93" s="172">
        <f>'Nitrous Oxide MMS'!U41*100%</f>
        <v>0.00011208859224024858</v>
      </c>
      <c r="K93" s="133"/>
      <c r="L93" s="129"/>
      <c r="M93" s="127"/>
      <c r="N93" s="35"/>
      <c r="O93" s="35"/>
      <c r="P93" s="35"/>
      <c r="Q93" s="35"/>
      <c r="R93" s="35"/>
      <c r="S93" s="35"/>
      <c r="T93" s="35"/>
      <c r="U93" s="35"/>
      <c r="V93" s="35"/>
      <c r="W93" s="35"/>
      <c r="X93" s="35"/>
      <c r="Y93" s="35"/>
      <c r="Z93" s="35"/>
      <c r="AA93" s="35"/>
      <c r="AB93" s="35"/>
    </row>
    <row r="94" spans="2:28" ht="15.75">
      <c r="B94" s="158"/>
      <c r="C94" s="176" t="s">
        <v>33</v>
      </c>
      <c r="D94" s="172">
        <f>'Nitrous Oxide MMS'!O42*100%</f>
        <v>9.59772985240457E-05</v>
      </c>
      <c r="E94" s="172">
        <f>'Nitrous Oxide MMS'!P42*100%</f>
        <v>0.0001626829855743109</v>
      </c>
      <c r="F94" s="172">
        <f>'Nitrous Oxide MMS'!Q42*100%</f>
        <v>0</v>
      </c>
      <c r="G94" s="172">
        <f>'Nitrous Oxide MMS'!R42*100%</f>
        <v>0.001044126021910681</v>
      </c>
      <c r="H94" s="172">
        <f>'Nitrous Oxide MMS'!S42*100%</f>
        <v>0.00403898912374545</v>
      </c>
      <c r="I94" s="172">
        <f>'Nitrous Oxide MMS'!T42*100%</f>
        <v>0</v>
      </c>
      <c r="J94" s="172">
        <f>'Nitrous Oxide MMS'!U42*100%</f>
        <v>0.0009706771908518561</v>
      </c>
      <c r="K94" s="133"/>
      <c r="L94" s="129"/>
      <c r="M94" s="127"/>
      <c r="N94" s="35"/>
      <c r="O94" s="35"/>
      <c r="P94" s="35"/>
      <c r="Q94" s="35"/>
      <c r="R94" s="35"/>
      <c r="S94" s="35"/>
      <c r="T94" s="35"/>
      <c r="U94" s="35"/>
      <c r="V94" s="35"/>
      <c r="W94" s="35"/>
      <c r="X94" s="35"/>
      <c r="Y94" s="35"/>
      <c r="Z94" s="35"/>
      <c r="AA94" s="35"/>
      <c r="AB94" s="35"/>
    </row>
    <row r="95" spans="2:28" ht="15.75">
      <c r="B95" s="133"/>
      <c r="C95" s="176" t="s">
        <v>34</v>
      </c>
      <c r="D95" s="172">
        <f>'Nitrous Oxide MMS'!O43*100%</f>
        <v>8.479959405731584E-05</v>
      </c>
      <c r="E95" s="172">
        <f>'Nitrous Oxide MMS'!P43*100%</f>
        <v>0</v>
      </c>
      <c r="F95" s="172">
        <f>'Nitrous Oxide MMS'!Q43*100%</f>
        <v>0.0009553453207968675</v>
      </c>
      <c r="G95" s="172">
        <f>'Nitrous Oxide MMS'!R43*100%</f>
        <v>0.001005830234929809</v>
      </c>
      <c r="H95" s="172">
        <f>'Nitrous Oxide MMS'!S43*100%</f>
        <v>0.0032725691477496215</v>
      </c>
      <c r="I95" s="172">
        <f>'Nitrous Oxide MMS'!T43*100%</f>
        <v>0.0009553453207968675</v>
      </c>
      <c r="J95" s="172">
        <f>'Nitrous Oxide MMS'!U43*100%</f>
        <v>0.0010441762197692208</v>
      </c>
      <c r="K95" s="133"/>
      <c r="L95" s="129"/>
      <c r="M95" s="127"/>
      <c r="N95" s="35"/>
      <c r="O95" s="35"/>
      <c r="P95" s="35"/>
      <c r="Q95" s="35"/>
      <c r="R95" s="35"/>
      <c r="S95" s="35"/>
      <c r="T95" s="35"/>
      <c r="U95" s="35"/>
      <c r="V95" s="35"/>
      <c r="W95" s="35"/>
      <c r="X95" s="35"/>
      <c r="Y95" s="143"/>
      <c r="Z95" s="35"/>
      <c r="AA95" s="35"/>
      <c r="AB95" s="35"/>
    </row>
    <row r="96" spans="2:28" ht="15.75">
      <c r="B96" s="133"/>
      <c r="C96" s="176" t="s">
        <v>35</v>
      </c>
      <c r="D96" s="172">
        <f>'Nitrous Oxide MMS'!O44*100%</f>
        <v>8.014641658450095E-05</v>
      </c>
      <c r="E96" s="172">
        <f>'Nitrous Oxide MMS'!P44*100%</f>
        <v>0</v>
      </c>
      <c r="F96" s="172">
        <f>'Nitrous Oxide MMS'!Q44*100%</f>
        <v>0.0007525022846845736</v>
      </c>
      <c r="G96" s="172">
        <f>'Nitrous Oxide MMS'!R44*100%</f>
        <v>0.0009384097073455928</v>
      </c>
      <c r="H96" s="172">
        <f>'Nitrous Oxide MMS'!S44*100%</f>
        <v>0.002258282004492127</v>
      </c>
      <c r="I96" s="172">
        <f>'Nitrous Oxide MMS'!T44*100%</f>
        <v>0.0008948684938353167</v>
      </c>
      <c r="J96" s="172">
        <f>'Nitrous Oxide MMS'!U44*100%</f>
        <v>0.0010865144384626655</v>
      </c>
      <c r="K96" s="133"/>
      <c r="L96" s="129"/>
      <c r="M96" s="127"/>
      <c r="N96" s="35"/>
      <c r="O96" s="35"/>
      <c r="P96" s="35"/>
      <c r="Q96" s="35"/>
      <c r="R96" s="35"/>
      <c r="S96" s="35"/>
      <c r="T96" s="35"/>
      <c r="U96" s="35"/>
      <c r="V96" s="35"/>
      <c r="W96" s="35"/>
      <c r="X96" s="35"/>
      <c r="Y96" s="143"/>
      <c r="Z96" s="35"/>
      <c r="AA96" s="35"/>
      <c r="AB96" s="35"/>
    </row>
    <row r="97" spans="2:28" ht="15.75">
      <c r="B97" s="133"/>
      <c r="C97" s="176"/>
      <c r="D97" s="130"/>
      <c r="E97" s="130"/>
      <c r="F97" s="130"/>
      <c r="G97" s="130"/>
      <c r="H97" s="130"/>
      <c r="I97" s="130"/>
      <c r="J97" s="130"/>
      <c r="K97" s="133"/>
      <c r="L97" s="139"/>
      <c r="M97" s="127"/>
      <c r="N97" s="35"/>
      <c r="O97" s="35"/>
      <c r="P97" s="35"/>
      <c r="Q97" s="35"/>
      <c r="R97" s="35"/>
      <c r="S97" s="35"/>
      <c r="T97" s="35"/>
      <c r="U97" s="35"/>
      <c r="V97" s="35"/>
      <c r="W97" s="35"/>
      <c r="X97" s="35"/>
      <c r="Y97" s="143"/>
      <c r="Z97" s="35"/>
      <c r="AA97" s="35"/>
      <c r="AB97" s="35"/>
    </row>
    <row r="98" spans="2:28" ht="15.75">
      <c r="B98" s="133"/>
      <c r="C98" s="176"/>
      <c r="D98" s="158" t="s">
        <v>313</v>
      </c>
      <c r="E98" s="133"/>
      <c r="F98" s="133"/>
      <c r="G98" s="133"/>
      <c r="H98" s="133"/>
      <c r="I98" s="133"/>
      <c r="J98" s="133"/>
      <c r="K98" s="133"/>
      <c r="L98" s="139" t="s">
        <v>314</v>
      </c>
      <c r="M98" s="127"/>
      <c r="N98" s="35"/>
      <c r="O98" s="35"/>
      <c r="P98" s="35"/>
      <c r="Q98" s="35"/>
      <c r="R98" s="35"/>
      <c r="S98" s="35"/>
      <c r="T98" s="35"/>
      <c r="U98" s="35"/>
      <c r="V98" s="35"/>
      <c r="W98" s="35"/>
      <c r="X98" s="35"/>
      <c r="Y98" s="143"/>
      <c r="Z98" s="35"/>
      <c r="AA98" s="35"/>
      <c r="AB98" s="35"/>
    </row>
    <row r="99" spans="2:28" ht="15.75">
      <c r="B99" s="133"/>
      <c r="C99" s="176" t="s">
        <v>32</v>
      </c>
      <c r="D99" s="172">
        <f>'Nitrous Oxide MMS'!O47*100%</f>
        <v>3.5580450596600324E-05</v>
      </c>
      <c r="E99" s="172">
        <f>'Nitrous Oxide MMS'!P47*100%</f>
        <v>0</v>
      </c>
      <c r="F99" s="172">
        <f>'Nitrous Oxide MMS'!Q47*100%</f>
        <v>2.7402768160644474E-05</v>
      </c>
      <c r="G99" s="172">
        <f>'Nitrous Oxide MMS'!R47*100%</f>
        <v>0.00026594285374408354</v>
      </c>
      <c r="H99" s="172">
        <f>'Nitrous Oxide MMS'!S47*100%</f>
        <v>0.00021106630969561544</v>
      </c>
      <c r="I99" s="172">
        <f>'Nitrous Oxide MMS'!T47*100%</f>
        <v>0.00024119020476114368</v>
      </c>
      <c r="J99" s="172">
        <f>'Nitrous Oxide MMS'!U47*100%</f>
        <v>3.849160324938968E-05</v>
      </c>
      <c r="K99" s="133"/>
      <c r="L99" s="139"/>
      <c r="M99" s="127"/>
      <c r="N99" s="35"/>
      <c r="O99" s="35"/>
      <c r="P99" s="35"/>
      <c r="Q99" s="35"/>
      <c r="R99" s="35"/>
      <c r="S99" s="35"/>
      <c r="T99" s="35"/>
      <c r="U99" s="35"/>
      <c r="V99" s="35"/>
      <c r="W99" s="35"/>
      <c r="X99" s="35"/>
      <c r="Y99" s="42"/>
      <c r="Z99" s="35"/>
      <c r="AA99" s="35"/>
      <c r="AB99" s="35"/>
    </row>
    <row r="100" spans="2:28" ht="15.75">
      <c r="B100" s="158"/>
      <c r="C100" s="176" t="s">
        <v>33</v>
      </c>
      <c r="D100" s="172">
        <f>'Nitrous Oxide MMS'!O48*100%</f>
        <v>0.0002175407354474606</v>
      </c>
      <c r="E100" s="172">
        <f>'Nitrous Oxide MMS'!P48*100%</f>
        <v>0.0003421282778500407</v>
      </c>
      <c r="F100" s="172">
        <f>'Nitrous Oxide MMS'!Q48*100%</f>
        <v>0</v>
      </c>
      <c r="G100" s="172">
        <f>'Nitrous Oxide MMS'!R48*100%</f>
        <v>0.002164032889904807</v>
      </c>
      <c r="H100" s="172">
        <f>'Nitrous Oxide MMS'!S48*100%</f>
        <v>0.007847559573010698</v>
      </c>
      <c r="I100" s="172">
        <f>'Nitrous Oxide MMS'!T48*100%</f>
        <v>0</v>
      </c>
      <c r="J100" s="172">
        <f>'Nitrous Oxide MMS'!U48*100%</f>
        <v>0.0020749079508995826</v>
      </c>
      <c r="K100" s="133"/>
      <c r="L100" s="139"/>
      <c r="M100" s="127"/>
      <c r="N100" s="35"/>
      <c r="O100" s="35"/>
      <c r="P100" s="35"/>
      <c r="Q100" s="35"/>
      <c r="R100" s="35"/>
      <c r="S100" s="35"/>
      <c r="T100" s="35"/>
      <c r="U100" s="35"/>
      <c r="V100" s="35"/>
      <c r="W100" s="35"/>
      <c r="X100" s="35"/>
      <c r="Y100" s="42"/>
      <c r="Z100" s="35"/>
      <c r="AA100" s="35"/>
      <c r="AB100" s="35"/>
    </row>
    <row r="101" spans="2:28" ht="15.75">
      <c r="B101" s="133"/>
      <c r="C101" s="176" t="s">
        <v>34</v>
      </c>
      <c r="D101" s="172">
        <f>'Nitrous Oxide MMS'!O49*100%</f>
        <v>0.00011271323763419053</v>
      </c>
      <c r="E101" s="172">
        <f>'Nitrous Oxide MMS'!P49*100%</f>
        <v>0</v>
      </c>
      <c r="F101" s="172">
        <f>'Nitrous Oxide MMS'!Q49*100%</f>
        <v>0.0008435180820684081</v>
      </c>
      <c r="G101" s="172">
        <f>'Nitrous Oxide MMS'!R49*100%</f>
        <v>0.0011576412491971315</v>
      </c>
      <c r="H101" s="172">
        <f>'Nitrous Oxide MMS'!S49*100%</f>
        <v>0.004186571694863131</v>
      </c>
      <c r="I101" s="172">
        <f>'Nitrous Oxide MMS'!T49*100%</f>
        <v>0.0009021394839803537</v>
      </c>
      <c r="J101" s="172">
        <f>'Nitrous Oxide MMS'!U49*100%</f>
        <v>0.001101029006257541</v>
      </c>
      <c r="K101" s="133"/>
      <c r="L101" s="139"/>
      <c r="M101" s="127"/>
      <c r="N101" s="35"/>
      <c r="O101" s="35"/>
      <c r="P101" s="35"/>
      <c r="Q101" s="35"/>
      <c r="R101" s="35"/>
      <c r="S101" s="35"/>
      <c r="T101" s="35"/>
      <c r="U101" s="35"/>
      <c r="V101" s="35"/>
      <c r="W101" s="35"/>
      <c r="X101" s="35"/>
      <c r="Y101" s="42"/>
      <c r="Z101" s="35"/>
      <c r="AA101" s="35"/>
      <c r="AB101" s="35"/>
    </row>
    <row r="102" spans="2:28" ht="15.75">
      <c r="B102" s="133"/>
      <c r="C102" s="176" t="s">
        <v>35</v>
      </c>
      <c r="D102" s="172">
        <f>'Nitrous Oxide MMS'!O50*100%</f>
        <v>7.386446425200543E-05</v>
      </c>
      <c r="E102" s="172">
        <f>'Nitrous Oxide MMS'!P50*100%</f>
        <v>0</v>
      </c>
      <c r="F102" s="172">
        <f>'Nitrous Oxide MMS'!Q50*100%</f>
        <v>0.0003625786218044365</v>
      </c>
      <c r="G102" s="172">
        <f>'Nitrous Oxide MMS'!R50*100%</f>
        <v>0.0007866891360288736</v>
      </c>
      <c r="H102" s="172">
        <f>'Nitrous Oxide MMS'!S50*100%</f>
        <v>0.0022941047030349392</v>
      </c>
      <c r="I102" s="172">
        <f>'Nitrous Oxide MMS'!T50*100%</f>
        <v>0.0003458331464589086</v>
      </c>
      <c r="J102" s="172">
        <f>'Nitrous Oxide MMS'!U50*100%</f>
        <v>0.0007505304995601265</v>
      </c>
      <c r="K102" s="133"/>
      <c r="L102" s="139"/>
      <c r="M102" s="127"/>
      <c r="N102" s="35"/>
      <c r="O102" s="35"/>
      <c r="P102" s="35"/>
      <c r="Q102" s="35"/>
      <c r="R102" s="35"/>
      <c r="S102" s="35"/>
      <c r="T102" s="35"/>
      <c r="U102" s="35"/>
      <c r="V102" s="35"/>
      <c r="W102" s="35"/>
      <c r="X102" s="35"/>
      <c r="Y102" s="42"/>
      <c r="Z102" s="35"/>
      <c r="AA102" s="35"/>
      <c r="AB102" s="35"/>
    </row>
    <row r="103" spans="2:28" ht="15.75">
      <c r="B103" s="133"/>
      <c r="C103" s="133"/>
      <c r="D103" s="133"/>
      <c r="E103" s="133"/>
      <c r="F103" s="133"/>
      <c r="G103" s="133"/>
      <c r="H103" s="133"/>
      <c r="I103" s="133"/>
      <c r="J103" s="133"/>
      <c r="K103" s="133"/>
      <c r="L103" s="139"/>
      <c r="M103" s="127"/>
      <c r="N103" s="35"/>
      <c r="O103" s="35"/>
      <c r="P103" s="35"/>
      <c r="Q103" s="35"/>
      <c r="R103" s="35"/>
      <c r="S103" s="35"/>
      <c r="T103" s="35"/>
      <c r="U103" s="35"/>
      <c r="V103" s="35"/>
      <c r="W103" s="35"/>
      <c r="X103" s="35"/>
      <c r="Y103" s="35"/>
      <c r="Z103" s="35"/>
      <c r="AA103" s="35"/>
      <c r="AB103" s="35"/>
    </row>
    <row r="104" spans="2:28" ht="15.75">
      <c r="B104" s="158" t="s">
        <v>315</v>
      </c>
      <c r="C104" s="133"/>
      <c r="D104" s="158" t="s">
        <v>316</v>
      </c>
      <c r="E104" s="133"/>
      <c r="F104" s="133"/>
      <c r="G104" s="133"/>
      <c r="H104" s="133"/>
      <c r="I104" s="133"/>
      <c r="J104" s="133"/>
      <c r="K104" s="133"/>
      <c r="L104" s="139" t="s">
        <v>323</v>
      </c>
      <c r="M104" s="127"/>
      <c r="N104" s="35"/>
      <c r="O104" s="35"/>
      <c r="P104" s="35"/>
      <c r="Q104" s="35"/>
      <c r="R104" s="35"/>
      <c r="S104" s="35"/>
      <c r="T104" s="35"/>
      <c r="U104" s="35"/>
      <c r="V104" s="35"/>
      <c r="W104" s="35"/>
      <c r="X104" s="35"/>
      <c r="Y104" s="144"/>
      <c r="Z104" s="35"/>
      <c r="AA104" s="35"/>
      <c r="AB104" s="35"/>
    </row>
    <row r="105" spans="2:28" ht="15.75">
      <c r="B105" s="133"/>
      <c r="C105" s="133"/>
      <c r="D105" s="133" t="s">
        <v>436</v>
      </c>
      <c r="E105" s="173">
        <v>0.005</v>
      </c>
      <c r="F105" s="133"/>
      <c r="G105" s="133"/>
      <c r="H105" s="133"/>
      <c r="I105" s="133"/>
      <c r="J105" s="133"/>
      <c r="K105" s="133"/>
      <c r="L105" s="139"/>
      <c r="M105" s="127"/>
      <c r="N105" s="35"/>
      <c r="O105" s="35"/>
      <c r="P105" s="35"/>
      <c r="Q105" s="35"/>
      <c r="R105" s="35"/>
      <c r="S105" s="35"/>
      <c r="T105" s="35"/>
      <c r="U105" s="35"/>
      <c r="V105" s="35"/>
      <c r="W105" s="35"/>
      <c r="X105" s="35"/>
      <c r="Y105" s="35"/>
      <c r="Z105" s="35"/>
      <c r="AA105" s="35"/>
      <c r="AB105" s="35"/>
    </row>
    <row r="106" spans="2:28" ht="15.75">
      <c r="B106" s="133"/>
      <c r="C106" s="133"/>
      <c r="D106" s="133" t="s">
        <v>437</v>
      </c>
      <c r="E106" s="130">
        <v>0.004</v>
      </c>
      <c r="F106" s="133"/>
      <c r="G106" s="133"/>
      <c r="H106" s="133"/>
      <c r="I106" s="133"/>
      <c r="J106" s="133"/>
      <c r="K106" s="133"/>
      <c r="L106" s="139"/>
      <c r="M106" s="127"/>
      <c r="N106" s="35"/>
      <c r="O106" s="35"/>
      <c r="P106" s="35"/>
      <c r="Q106" s="35"/>
      <c r="R106" s="35"/>
      <c r="S106" s="35"/>
      <c r="T106" s="35"/>
      <c r="U106" s="35"/>
      <c r="V106" s="35"/>
      <c r="W106" s="35"/>
      <c r="X106" s="35"/>
      <c r="Y106" s="35"/>
      <c r="Z106" s="35"/>
      <c r="AA106" s="35"/>
      <c r="AB106" s="35"/>
    </row>
    <row r="107" spans="2:28" ht="15.75">
      <c r="B107" s="133"/>
      <c r="C107" s="133"/>
      <c r="D107" s="133"/>
      <c r="E107" s="133"/>
      <c r="F107" s="133"/>
      <c r="G107" s="133"/>
      <c r="H107" s="133"/>
      <c r="I107" s="133"/>
      <c r="J107" s="133"/>
      <c r="K107" s="133"/>
      <c r="L107" s="139"/>
      <c r="M107" s="127"/>
      <c r="N107" s="35"/>
      <c r="O107" s="35"/>
      <c r="P107" s="35"/>
      <c r="Q107" s="35"/>
      <c r="R107" s="35"/>
      <c r="S107" s="35"/>
      <c r="T107" s="35"/>
      <c r="U107" s="35"/>
      <c r="V107" s="35"/>
      <c r="W107" s="35"/>
      <c r="X107" s="35"/>
      <c r="Y107" s="35"/>
      <c r="Z107" s="35"/>
      <c r="AA107" s="35"/>
      <c r="AB107" s="35"/>
    </row>
    <row r="108" spans="2:28" ht="15.75">
      <c r="B108" s="133"/>
      <c r="C108" s="176" t="s">
        <v>32</v>
      </c>
      <c r="D108" s="174">
        <f>(D93*0.005*$C$17)+(D99*0.004*$C$17)</f>
        <v>8.123723132028928E-07</v>
      </c>
      <c r="E108" s="174">
        <f aca="true" t="shared" si="0" ref="E108:J108">(E93*0.005*$C$17)+(E99*0.004*$C$17)</f>
        <v>0</v>
      </c>
      <c r="F108" s="174">
        <f t="shared" si="0"/>
        <v>6.7104457558715505E-06</v>
      </c>
      <c r="G108" s="174">
        <f t="shared" si="0"/>
        <v>6.975085258792425E-06</v>
      </c>
      <c r="H108" s="174">
        <f t="shared" si="0"/>
        <v>1.902368533499936E-05</v>
      </c>
      <c r="I108" s="174">
        <f t="shared" si="0"/>
        <v>7.50636625307267E-06</v>
      </c>
      <c r="J108" s="174">
        <f t="shared" si="0"/>
        <v>1.1226433023124025E-06</v>
      </c>
      <c r="K108" s="170" t="s">
        <v>232</v>
      </c>
      <c r="L108" s="139"/>
      <c r="M108" s="127"/>
      <c r="N108" s="35"/>
      <c r="O108" s="35"/>
      <c r="P108" s="35"/>
      <c r="Q108" s="35"/>
      <c r="R108" s="35"/>
      <c r="S108" s="35"/>
      <c r="T108" s="35"/>
      <c r="U108" s="35"/>
      <c r="V108" s="35"/>
      <c r="W108" s="35"/>
      <c r="X108" s="35"/>
      <c r="Y108" s="35"/>
      <c r="Z108" s="35"/>
      <c r="AA108" s="35"/>
      <c r="AB108" s="35"/>
    </row>
    <row r="109" spans="2:28" ht="15.75">
      <c r="B109" s="158"/>
      <c r="C109" s="176" t="s">
        <v>33</v>
      </c>
      <c r="D109" s="174">
        <f aca="true" t="shared" si="1" ref="D109:J109">(D94*0.005*$C$17)+(D100*0.004*$C$17)</f>
        <v>2.1215062540729685E-06</v>
      </c>
      <c r="E109" s="174">
        <f t="shared" si="1"/>
        <v>3.428744061712699E-06</v>
      </c>
      <c r="F109" s="174">
        <f t="shared" si="1"/>
        <v>0</v>
      </c>
      <c r="G109" s="174">
        <f t="shared" si="1"/>
        <v>2.1806339765842706E-05</v>
      </c>
      <c r="H109" s="174">
        <f t="shared" si="1"/>
        <v>8.10624318597815E-05</v>
      </c>
      <c r="I109" s="174">
        <f t="shared" si="1"/>
        <v>0</v>
      </c>
      <c r="J109" s="174">
        <f t="shared" si="1"/>
        <v>2.0669027905204814E-05</v>
      </c>
      <c r="K109" s="170" t="s">
        <v>232</v>
      </c>
      <c r="L109" s="139"/>
      <c r="M109" s="127"/>
      <c r="N109" s="35"/>
      <c r="O109" s="35"/>
      <c r="P109" s="35"/>
      <c r="Q109" s="35"/>
      <c r="R109" s="35"/>
      <c r="S109" s="35"/>
      <c r="T109" s="35"/>
      <c r="U109" s="35"/>
      <c r="V109" s="35"/>
      <c r="W109" s="35"/>
      <c r="X109" s="35"/>
      <c r="Y109" s="35"/>
      <c r="Z109" s="35"/>
      <c r="AA109" s="35"/>
      <c r="AB109" s="35"/>
    </row>
    <row r="110" spans="2:28" ht="15.75">
      <c r="B110" s="133"/>
      <c r="C110" s="176" t="s">
        <v>34</v>
      </c>
      <c r="D110" s="174">
        <f aca="true" t="shared" si="2" ref="D110:J110">(D95*0.005*$C$17)+(D101*0.004*$C$17)</f>
        <v>1.3747657327223935E-06</v>
      </c>
      <c r="E110" s="174">
        <f t="shared" si="2"/>
        <v>0</v>
      </c>
      <c r="F110" s="174">
        <f t="shared" si="2"/>
        <v>1.2808398322119666E-05</v>
      </c>
      <c r="G110" s="174">
        <f t="shared" si="2"/>
        <v>1.5179553983687613E-05</v>
      </c>
      <c r="H110" s="174">
        <f t="shared" si="2"/>
        <v>5.2028636814315273E-05</v>
      </c>
      <c r="I110" s="174">
        <f t="shared" si="2"/>
        <v>1.317687570556618E-05</v>
      </c>
      <c r="J110" s="174">
        <f t="shared" si="2"/>
        <v>1.5124995480376992E-05</v>
      </c>
      <c r="K110" s="170" t="s">
        <v>232</v>
      </c>
      <c r="L110" s="139"/>
      <c r="M110" s="142"/>
      <c r="N110" s="35"/>
      <c r="O110" s="35"/>
      <c r="P110" s="35"/>
      <c r="Q110" s="35"/>
      <c r="R110" s="35"/>
      <c r="S110" s="35"/>
      <c r="T110" s="35"/>
      <c r="U110" s="35"/>
      <c r="V110" s="35"/>
      <c r="W110" s="35"/>
      <c r="X110" s="35"/>
      <c r="Y110" s="35"/>
      <c r="Z110" s="35"/>
      <c r="AA110" s="35"/>
      <c r="AB110" s="35"/>
    </row>
    <row r="111" spans="2:28" ht="15.75">
      <c r="B111" s="133"/>
      <c r="C111" s="176" t="s">
        <v>35</v>
      </c>
      <c r="D111" s="174">
        <f aca="true" t="shared" si="3" ref="D111:J111">(D96*0.005*$C$17)+(D102*0.004*$C$17)</f>
        <v>1.0940127627479703E-06</v>
      </c>
      <c r="E111" s="174">
        <f t="shared" si="3"/>
        <v>0</v>
      </c>
      <c r="F111" s="174">
        <f t="shared" si="3"/>
        <v>8.191583573863822E-06</v>
      </c>
      <c r="G111" s="174">
        <f t="shared" si="3"/>
        <v>1.2318122269896864E-05</v>
      </c>
      <c r="H111" s="174">
        <f t="shared" si="3"/>
        <v>3.216373102580061E-05</v>
      </c>
      <c r="I111" s="174">
        <f t="shared" si="3"/>
        <v>9.20491794359063E-06</v>
      </c>
      <c r="J111" s="174">
        <f t="shared" si="3"/>
        <v>1.3254519442298882E-05</v>
      </c>
      <c r="K111" s="170" t="s">
        <v>232</v>
      </c>
      <c r="L111" s="139"/>
      <c r="M111" s="127"/>
      <c r="N111" s="35"/>
      <c r="O111" s="35"/>
      <c r="P111" s="35"/>
      <c r="Q111" s="35"/>
      <c r="R111" s="35"/>
      <c r="S111" s="35"/>
      <c r="T111" s="35"/>
      <c r="U111" s="35"/>
      <c r="V111" s="35"/>
      <c r="W111" s="35"/>
      <c r="X111" s="35"/>
      <c r="Y111" s="35"/>
      <c r="Z111" s="35"/>
      <c r="AA111" s="35"/>
      <c r="AB111" s="35"/>
    </row>
    <row r="112" spans="2:28" ht="15.75">
      <c r="B112" s="133"/>
      <c r="C112" s="176"/>
      <c r="D112" s="133"/>
      <c r="E112" s="133"/>
      <c r="F112" s="133"/>
      <c r="G112" s="133"/>
      <c r="H112" s="133"/>
      <c r="I112" s="133"/>
      <c r="J112" s="133"/>
      <c r="K112" s="133"/>
      <c r="L112" s="139"/>
      <c r="M112" s="127"/>
      <c r="N112" s="35"/>
      <c r="O112" s="35"/>
      <c r="P112" s="35"/>
      <c r="Q112" s="35"/>
      <c r="R112" s="35"/>
      <c r="S112" s="35"/>
      <c r="T112" s="35"/>
      <c r="U112" s="35"/>
      <c r="V112" s="35"/>
      <c r="W112" s="35"/>
      <c r="X112" s="35"/>
      <c r="Y112" s="35"/>
      <c r="Z112" s="35"/>
      <c r="AA112" s="35"/>
      <c r="AB112" s="35"/>
    </row>
    <row r="113" spans="2:28" ht="15.75">
      <c r="B113" s="158" t="s">
        <v>317</v>
      </c>
      <c r="C113" s="176"/>
      <c r="D113" s="133"/>
      <c r="E113" s="133"/>
      <c r="F113" s="133"/>
      <c r="G113" s="133"/>
      <c r="H113" s="133"/>
      <c r="I113" s="133"/>
      <c r="J113" s="133"/>
      <c r="K113" s="133"/>
      <c r="L113" s="139"/>
      <c r="M113" s="127"/>
      <c r="N113" s="35"/>
      <c r="O113" s="35"/>
      <c r="P113" s="35"/>
      <c r="Q113" s="35"/>
      <c r="R113" s="35"/>
      <c r="S113" s="35"/>
      <c r="T113" s="35"/>
      <c r="U113" s="35"/>
      <c r="V113" s="35"/>
      <c r="W113" s="35"/>
      <c r="X113" s="35"/>
      <c r="Y113" s="35"/>
      <c r="Z113" s="35"/>
      <c r="AA113" s="35"/>
      <c r="AB113" s="35"/>
    </row>
    <row r="114" spans="2:28" ht="15.75">
      <c r="B114" s="133"/>
      <c r="C114" s="176" t="s">
        <v>32</v>
      </c>
      <c r="D114" s="174">
        <f>$F$57+D108</f>
        <v>8.123723132028928E-07</v>
      </c>
      <c r="E114" s="174">
        <f aca="true" t="shared" si="4" ref="E114:J114">$F$57+E108</f>
        <v>0</v>
      </c>
      <c r="F114" s="174">
        <f t="shared" si="4"/>
        <v>6.7104457558715505E-06</v>
      </c>
      <c r="G114" s="174">
        <f t="shared" si="4"/>
        <v>6.975085258792425E-06</v>
      </c>
      <c r="H114" s="174">
        <f t="shared" si="4"/>
        <v>1.902368533499936E-05</v>
      </c>
      <c r="I114" s="174">
        <f t="shared" si="4"/>
        <v>7.50636625307267E-06</v>
      </c>
      <c r="J114" s="174">
        <f t="shared" si="4"/>
        <v>1.1226433023124025E-06</v>
      </c>
      <c r="K114" s="170" t="s">
        <v>232</v>
      </c>
      <c r="L114" s="139"/>
      <c r="M114" s="127"/>
      <c r="N114" s="35"/>
      <c r="O114" s="35"/>
      <c r="P114" s="35"/>
      <c r="Q114" s="35"/>
      <c r="R114" s="35"/>
      <c r="S114" s="35"/>
      <c r="T114" s="35"/>
      <c r="U114" s="35"/>
      <c r="V114" s="35"/>
      <c r="W114" s="35"/>
      <c r="X114" s="35"/>
      <c r="Y114" s="35"/>
      <c r="Z114" s="35"/>
      <c r="AA114" s="35"/>
      <c r="AB114" s="35"/>
    </row>
    <row r="115" spans="2:28" ht="15.75">
      <c r="B115" s="133"/>
      <c r="C115" s="176" t="s">
        <v>33</v>
      </c>
      <c r="D115" s="174">
        <f aca="true" t="shared" si="5" ref="D115:J115">$F$57+D109</f>
        <v>2.1215062540729685E-06</v>
      </c>
      <c r="E115" s="174">
        <f t="shared" si="5"/>
        <v>3.428744061712699E-06</v>
      </c>
      <c r="F115" s="174">
        <f t="shared" si="5"/>
        <v>0</v>
      </c>
      <c r="G115" s="174">
        <f t="shared" si="5"/>
        <v>2.1806339765842706E-05</v>
      </c>
      <c r="H115" s="174">
        <f t="shared" si="5"/>
        <v>8.10624318597815E-05</v>
      </c>
      <c r="I115" s="174">
        <f t="shared" si="5"/>
        <v>0</v>
      </c>
      <c r="J115" s="174">
        <f t="shared" si="5"/>
        <v>2.0669027905204814E-05</v>
      </c>
      <c r="K115" s="170" t="s">
        <v>232</v>
      </c>
      <c r="L115" s="139"/>
      <c r="M115" s="127"/>
      <c r="N115" s="35"/>
      <c r="O115" s="35"/>
      <c r="P115" s="35"/>
      <c r="Q115" s="35"/>
      <c r="R115" s="35"/>
      <c r="S115" s="35"/>
      <c r="T115" s="35"/>
      <c r="U115" s="35"/>
      <c r="V115" s="35"/>
      <c r="W115" s="35"/>
      <c r="X115" s="35"/>
      <c r="Y115" s="35"/>
      <c r="Z115" s="35"/>
      <c r="AA115" s="35"/>
      <c r="AB115" s="35"/>
    </row>
    <row r="116" spans="2:28" ht="15.75">
      <c r="B116" s="133"/>
      <c r="C116" s="176" t="s">
        <v>34</v>
      </c>
      <c r="D116" s="174">
        <f aca="true" t="shared" si="6" ref="D116:J116">$F$57+D110</f>
        <v>1.3747657327223935E-06</v>
      </c>
      <c r="E116" s="174">
        <f t="shared" si="6"/>
        <v>0</v>
      </c>
      <c r="F116" s="174">
        <f t="shared" si="6"/>
        <v>1.2808398322119666E-05</v>
      </c>
      <c r="G116" s="174">
        <f t="shared" si="6"/>
        <v>1.5179553983687613E-05</v>
      </c>
      <c r="H116" s="174">
        <f t="shared" si="6"/>
        <v>5.2028636814315273E-05</v>
      </c>
      <c r="I116" s="174">
        <f t="shared" si="6"/>
        <v>1.317687570556618E-05</v>
      </c>
      <c r="J116" s="174">
        <f t="shared" si="6"/>
        <v>1.5124995480376992E-05</v>
      </c>
      <c r="K116" s="170" t="s">
        <v>232</v>
      </c>
      <c r="L116" s="139"/>
      <c r="M116" s="127"/>
      <c r="N116" s="35"/>
      <c r="O116" s="35"/>
      <c r="P116" s="35"/>
      <c r="Q116" s="35"/>
      <c r="R116" s="35"/>
      <c r="S116" s="35"/>
      <c r="T116" s="35"/>
      <c r="U116" s="35"/>
      <c r="V116" s="35"/>
      <c r="W116" s="35"/>
      <c r="X116" s="35"/>
      <c r="Y116" s="35"/>
      <c r="Z116" s="35"/>
      <c r="AA116" s="35"/>
      <c r="AB116" s="35"/>
    </row>
    <row r="117" spans="2:28" ht="15.75">
      <c r="B117" s="133"/>
      <c r="C117" s="176" t="s">
        <v>35</v>
      </c>
      <c r="D117" s="174">
        <f aca="true" t="shared" si="7" ref="D117:J117">$F$57+D111</f>
        <v>1.0940127627479703E-06</v>
      </c>
      <c r="E117" s="174">
        <f t="shared" si="7"/>
        <v>0</v>
      </c>
      <c r="F117" s="174">
        <f t="shared" si="7"/>
        <v>8.191583573863822E-06</v>
      </c>
      <c r="G117" s="174">
        <f t="shared" si="7"/>
        <v>1.2318122269896864E-05</v>
      </c>
      <c r="H117" s="174">
        <f t="shared" si="7"/>
        <v>3.216373102580061E-05</v>
      </c>
      <c r="I117" s="174">
        <f t="shared" si="7"/>
        <v>9.20491794359063E-06</v>
      </c>
      <c r="J117" s="174">
        <f t="shared" si="7"/>
        <v>1.3254519442298882E-05</v>
      </c>
      <c r="K117" s="170" t="s">
        <v>232</v>
      </c>
      <c r="L117" s="139"/>
      <c r="M117" s="127"/>
      <c r="N117" s="35"/>
      <c r="O117" s="35"/>
      <c r="P117" s="125"/>
      <c r="Q117" s="125"/>
      <c r="R117" s="35"/>
      <c r="S117" s="125"/>
      <c r="T117" s="35"/>
      <c r="U117" s="35"/>
      <c r="V117" s="35"/>
      <c r="W117" s="35"/>
      <c r="X117" s="35"/>
      <c r="Y117" s="35"/>
      <c r="Z117" s="35"/>
      <c r="AA117" s="35"/>
      <c r="AB117" s="35"/>
    </row>
    <row r="118" spans="2:28" ht="15.75">
      <c r="B118" s="133"/>
      <c r="C118" s="158"/>
      <c r="D118" s="133"/>
      <c r="E118" s="133"/>
      <c r="F118" s="133"/>
      <c r="G118" s="133"/>
      <c r="H118" s="133"/>
      <c r="I118" s="133"/>
      <c r="J118" s="133"/>
      <c r="K118" s="133"/>
      <c r="L118" s="139"/>
      <c r="M118" s="127"/>
      <c r="N118" s="35"/>
      <c r="O118" s="35"/>
      <c r="P118" s="37"/>
      <c r="Q118" s="125"/>
      <c r="R118" s="35"/>
      <c r="S118" s="35"/>
      <c r="T118" s="35"/>
      <c r="U118" s="35"/>
      <c r="V118" s="35"/>
      <c r="W118" s="35"/>
      <c r="X118" s="35"/>
      <c r="Y118" s="35"/>
      <c r="Z118" s="35"/>
      <c r="AA118" s="35"/>
      <c r="AB118" s="35"/>
    </row>
    <row r="119" spans="2:28" ht="15.75">
      <c r="B119" s="158" t="s">
        <v>126</v>
      </c>
      <c r="C119" s="175">
        <f>SUM(D114:J117)</f>
        <v>0.00035715876112185293</v>
      </c>
      <c r="D119" s="133"/>
      <c r="E119" s="133"/>
      <c r="F119" s="133"/>
      <c r="G119" s="133"/>
      <c r="H119" s="133"/>
      <c r="I119" s="133"/>
      <c r="J119" s="133"/>
      <c r="K119" s="170" t="s">
        <v>239</v>
      </c>
      <c r="L119" s="139"/>
      <c r="M119" s="127"/>
      <c r="N119" s="35"/>
      <c r="O119" s="35"/>
      <c r="P119" s="35"/>
      <c r="Q119" s="35"/>
      <c r="R119" s="35"/>
      <c r="S119" s="35"/>
      <c r="T119" s="35"/>
      <c r="U119" s="35"/>
      <c r="V119" s="35"/>
      <c r="W119" s="35"/>
      <c r="X119" s="35"/>
      <c r="Y119" s="35"/>
      <c r="Z119" s="35"/>
      <c r="AA119" s="35"/>
      <c r="AB119" s="35"/>
    </row>
    <row r="120" spans="2:28" ht="15.75">
      <c r="B120" s="158" t="s">
        <v>126</v>
      </c>
      <c r="C120" s="159">
        <f>C119*310</f>
        <v>0.11071921594777441</v>
      </c>
      <c r="D120" s="133"/>
      <c r="E120" s="133"/>
      <c r="F120" s="133"/>
      <c r="G120" s="133"/>
      <c r="H120" s="133"/>
      <c r="I120" s="133"/>
      <c r="J120" s="133"/>
      <c r="K120" s="170" t="s">
        <v>184</v>
      </c>
      <c r="L120" s="139"/>
      <c r="M120" s="127"/>
      <c r="N120" s="35"/>
      <c r="O120" s="35"/>
      <c r="P120" s="35"/>
      <c r="Q120" s="35"/>
      <c r="R120" s="35"/>
      <c r="S120" s="35"/>
      <c r="T120" s="35"/>
      <c r="U120" s="35"/>
      <c r="V120" s="35"/>
      <c r="W120" s="35"/>
      <c r="X120" s="35"/>
      <c r="Y120" s="35"/>
      <c r="Z120" s="35"/>
      <c r="AA120" s="35"/>
      <c r="AB120" s="35"/>
    </row>
    <row r="121" spans="2:28" ht="15.75">
      <c r="B121" s="158" t="s">
        <v>126</v>
      </c>
      <c r="C121" s="159">
        <f>C120*10^3</f>
        <v>110.71921594777442</v>
      </c>
      <c r="D121" s="133"/>
      <c r="E121" s="133"/>
      <c r="F121" s="133"/>
      <c r="G121" s="133"/>
      <c r="H121" s="133"/>
      <c r="I121" s="133"/>
      <c r="J121" s="133"/>
      <c r="K121" s="170" t="s">
        <v>185</v>
      </c>
      <c r="L121" s="139"/>
      <c r="M121" s="127"/>
      <c r="N121" s="35"/>
      <c r="O121" s="35"/>
      <c r="P121" s="35"/>
      <c r="Q121" s="35"/>
      <c r="R121" s="35"/>
      <c r="S121" s="35"/>
      <c r="T121" s="35"/>
      <c r="U121" s="35"/>
      <c r="V121" s="35"/>
      <c r="W121" s="35"/>
      <c r="X121" s="35"/>
      <c r="Y121" s="35"/>
      <c r="Z121" s="35"/>
      <c r="AA121" s="35"/>
      <c r="AB121" s="35"/>
    </row>
    <row r="122" spans="2:28" ht="15.75">
      <c r="B122" s="133"/>
      <c r="C122" s="169"/>
      <c r="D122" s="133"/>
      <c r="E122" s="133"/>
      <c r="F122" s="133"/>
      <c r="G122" s="133"/>
      <c r="H122" s="133"/>
      <c r="I122" s="133"/>
      <c r="J122" s="133"/>
      <c r="K122" s="133"/>
      <c r="L122" s="139"/>
      <c r="M122" s="127"/>
      <c r="N122" s="35"/>
      <c r="O122" s="35"/>
      <c r="P122" s="35"/>
      <c r="Q122" s="35"/>
      <c r="R122" s="35"/>
      <c r="S122" s="35"/>
      <c r="T122" s="35"/>
      <c r="U122" s="35"/>
      <c r="V122" s="35"/>
      <c r="W122" s="35"/>
      <c r="X122" s="35"/>
      <c r="Y122" s="35"/>
      <c r="Z122" s="35"/>
      <c r="AA122" s="35"/>
      <c r="AB122" s="35"/>
    </row>
    <row r="123" spans="2:28" ht="15.75">
      <c r="B123" s="133"/>
      <c r="C123" s="169"/>
      <c r="D123" s="133"/>
      <c r="E123" s="133"/>
      <c r="F123" s="133"/>
      <c r="G123" s="133"/>
      <c r="H123" s="133"/>
      <c r="I123" s="133"/>
      <c r="J123" s="133"/>
      <c r="K123" s="133"/>
      <c r="L123" s="139"/>
      <c r="M123" s="127"/>
      <c r="N123" s="35"/>
      <c r="O123" s="125"/>
      <c r="P123" s="125"/>
      <c r="Q123" s="35"/>
      <c r="R123" s="125"/>
      <c r="S123" s="35"/>
      <c r="T123" s="35"/>
      <c r="U123" s="35"/>
      <c r="V123" s="35"/>
      <c r="W123" s="35"/>
      <c r="X123" s="35"/>
      <c r="Y123" s="35"/>
      <c r="Z123" s="35"/>
      <c r="AA123" s="35"/>
      <c r="AB123" s="35"/>
    </row>
    <row r="124" spans="2:28" ht="15.75">
      <c r="B124" s="158" t="s">
        <v>324</v>
      </c>
      <c r="C124" s="133"/>
      <c r="D124" s="158" t="s">
        <v>325</v>
      </c>
      <c r="E124" s="133"/>
      <c r="F124" s="133"/>
      <c r="G124" s="133"/>
      <c r="H124" s="133"/>
      <c r="I124" s="133"/>
      <c r="J124" s="133"/>
      <c r="K124" s="133"/>
      <c r="L124" s="139" t="s">
        <v>326</v>
      </c>
      <c r="M124" s="127"/>
      <c r="N124" s="35"/>
      <c r="O124" s="37"/>
      <c r="P124" s="125"/>
      <c r="Q124" s="35"/>
      <c r="R124" s="35"/>
      <c r="S124" s="35"/>
      <c r="T124" s="35"/>
      <c r="U124" s="35"/>
      <c r="V124" s="35"/>
      <c r="W124" s="35"/>
      <c r="X124" s="35"/>
      <c r="Y124" s="35"/>
      <c r="Z124" s="35"/>
      <c r="AA124" s="35"/>
      <c r="AB124" s="35"/>
    </row>
    <row r="125" spans="2:28" ht="15.75">
      <c r="B125" s="158"/>
      <c r="C125" s="133"/>
      <c r="D125" s="133" t="s">
        <v>327</v>
      </c>
      <c r="E125" s="133"/>
      <c r="F125" s="133"/>
      <c r="G125" s="133"/>
      <c r="H125" s="133"/>
      <c r="I125" s="133"/>
      <c r="J125" s="133"/>
      <c r="K125" s="133" t="s">
        <v>278</v>
      </c>
      <c r="L125" s="139"/>
      <c r="M125" s="127"/>
      <c r="N125" s="35"/>
      <c r="O125" s="35"/>
      <c r="P125" s="35"/>
      <c r="Q125" s="35"/>
      <c r="R125" s="35"/>
      <c r="S125" s="35"/>
      <c r="T125" s="35"/>
      <c r="U125" s="35"/>
      <c r="V125" s="35"/>
      <c r="W125" s="35"/>
      <c r="X125" s="35"/>
      <c r="Y125" s="35"/>
      <c r="Z125" s="35"/>
      <c r="AA125" s="35"/>
      <c r="AB125" s="35"/>
    </row>
    <row r="126" spans="2:28" ht="15.75">
      <c r="B126" s="133"/>
      <c r="C126" s="133"/>
      <c r="D126" s="133" t="s">
        <v>246</v>
      </c>
      <c r="E126" s="133"/>
      <c r="F126" s="133"/>
      <c r="G126" s="133"/>
      <c r="H126" s="133"/>
      <c r="I126" s="133"/>
      <c r="J126" s="133"/>
      <c r="K126" s="176" t="s">
        <v>278</v>
      </c>
      <c r="L126" s="139"/>
      <c r="M126" s="127"/>
      <c r="N126" s="35"/>
      <c r="O126" s="35"/>
      <c r="P126" s="35"/>
      <c r="Q126" s="35"/>
      <c r="R126" s="35"/>
      <c r="S126" s="35"/>
      <c r="T126" s="35"/>
      <c r="U126" s="35"/>
      <c r="V126" s="35"/>
      <c r="W126" s="35"/>
      <c r="X126" s="35"/>
      <c r="Y126" s="35"/>
      <c r="Z126" s="35"/>
      <c r="AA126" s="35"/>
      <c r="AB126" s="35"/>
    </row>
    <row r="127" spans="2:28" ht="15.75">
      <c r="B127" s="133"/>
      <c r="C127" s="133"/>
      <c r="D127" s="133" t="s">
        <v>328</v>
      </c>
      <c r="E127" s="133"/>
      <c r="F127" s="133"/>
      <c r="G127" s="133"/>
      <c r="H127" s="133"/>
      <c r="I127" s="133"/>
      <c r="J127" s="133"/>
      <c r="K127" s="176" t="s">
        <v>329</v>
      </c>
      <c r="L127" s="139"/>
      <c r="M127" s="127"/>
      <c r="N127" s="35"/>
      <c r="O127" s="35"/>
      <c r="P127" s="35"/>
      <c r="Q127" s="35"/>
      <c r="R127" s="35"/>
      <c r="S127" s="35"/>
      <c r="T127" s="35"/>
      <c r="U127" s="35"/>
      <c r="V127" s="35"/>
      <c r="W127" s="35"/>
      <c r="X127" s="35"/>
      <c r="Y127" s="35"/>
      <c r="Z127" s="35"/>
      <c r="AA127" s="35"/>
      <c r="AB127" s="35"/>
    </row>
    <row r="128" spans="2:28" ht="15.75">
      <c r="B128" s="133"/>
      <c r="C128" s="169"/>
      <c r="D128" s="133"/>
      <c r="E128" s="133"/>
      <c r="F128" s="133"/>
      <c r="G128" s="133"/>
      <c r="H128" s="133"/>
      <c r="I128" s="133"/>
      <c r="J128" s="133"/>
      <c r="K128" s="133"/>
      <c r="L128" s="139"/>
      <c r="M128" s="127"/>
      <c r="N128" s="35"/>
      <c r="O128" s="35"/>
      <c r="P128" s="35"/>
      <c r="Q128" s="35"/>
      <c r="R128" s="35"/>
      <c r="S128" s="35"/>
      <c r="T128" s="35"/>
      <c r="U128" s="35"/>
      <c r="V128" s="35"/>
      <c r="W128" s="35"/>
      <c r="X128" s="35"/>
      <c r="Y128" s="35"/>
      <c r="Z128" s="35"/>
      <c r="AA128" s="35"/>
      <c r="AB128" s="35"/>
    </row>
    <row r="129" spans="2:28" ht="15.75">
      <c r="B129" s="133" t="s">
        <v>8</v>
      </c>
      <c r="C129" s="130"/>
      <c r="D129" s="177" t="s">
        <v>32</v>
      </c>
      <c r="E129" s="178">
        <f>SUM(D5,D10)*10^-6*0.1</f>
        <v>0</v>
      </c>
      <c r="F129" s="179"/>
      <c r="G129" s="133"/>
      <c r="H129" s="133"/>
      <c r="I129" s="133"/>
      <c r="J129" s="133"/>
      <c r="K129" s="176" t="s">
        <v>330</v>
      </c>
      <c r="L129" s="139"/>
      <c r="M129" s="127"/>
      <c r="N129" s="35"/>
      <c r="O129" s="35"/>
      <c r="P129" s="35"/>
      <c r="Q129" s="35"/>
      <c r="R129" s="35"/>
      <c r="S129" s="35"/>
      <c r="T129" s="35"/>
      <c r="U129" s="35"/>
      <c r="V129" s="35"/>
      <c r="W129" s="35"/>
      <c r="X129" s="35"/>
      <c r="Y129" s="35"/>
      <c r="Z129" s="35"/>
      <c r="AA129" s="35"/>
      <c r="AB129" s="35"/>
    </row>
    <row r="130" spans="2:28" ht="15.75">
      <c r="B130" s="133"/>
      <c r="C130" s="130"/>
      <c r="D130" s="180" t="s">
        <v>33</v>
      </c>
      <c r="E130" s="181">
        <f>SUM(D6,D11)*10^-6*0.1</f>
        <v>0</v>
      </c>
      <c r="F130" s="157"/>
      <c r="G130" s="133"/>
      <c r="H130" s="133"/>
      <c r="I130" s="133"/>
      <c r="J130" s="133"/>
      <c r="K130" s="176" t="s">
        <v>330</v>
      </c>
      <c r="L130" s="139"/>
      <c r="M130" s="127"/>
      <c r="N130" s="37"/>
      <c r="O130" s="35"/>
      <c r="P130" s="35"/>
      <c r="Q130" s="35"/>
      <c r="R130" s="37"/>
      <c r="S130" s="35"/>
      <c r="T130" s="35"/>
      <c r="U130" s="35"/>
      <c r="V130" s="35"/>
      <c r="W130" s="35"/>
      <c r="X130" s="35"/>
      <c r="Y130" s="35"/>
      <c r="Z130" s="35"/>
      <c r="AA130" s="35"/>
      <c r="AB130" s="35"/>
    </row>
    <row r="131" spans="2:28" ht="15.75">
      <c r="B131" s="133"/>
      <c r="C131" s="130"/>
      <c r="D131" s="180" t="s">
        <v>34</v>
      </c>
      <c r="E131" s="181">
        <f>SUM(D7,D12)*10^-6*0.1</f>
        <v>0</v>
      </c>
      <c r="F131" s="157"/>
      <c r="G131" s="133"/>
      <c r="H131" s="133"/>
      <c r="I131" s="133"/>
      <c r="J131" s="133"/>
      <c r="K131" s="176" t="s">
        <v>330</v>
      </c>
      <c r="L131" s="139"/>
      <c r="M131" s="127"/>
      <c r="N131" s="35"/>
      <c r="O131" s="35"/>
      <c r="P131" s="35"/>
      <c r="Q131" s="35"/>
      <c r="R131" s="35"/>
      <c r="S131" s="35"/>
      <c r="T131" s="35"/>
      <c r="U131" s="35"/>
      <c r="V131" s="35"/>
      <c r="W131" s="35"/>
      <c r="X131" s="35"/>
      <c r="Y131" s="35"/>
      <c r="Z131" s="35"/>
      <c r="AA131" s="35"/>
      <c r="AB131" s="35"/>
    </row>
    <row r="132" spans="2:28" ht="15.75">
      <c r="B132" s="133"/>
      <c r="C132" s="130"/>
      <c r="D132" s="182" t="s">
        <v>35</v>
      </c>
      <c r="E132" s="183">
        <f>SUM(D8,D13)*10^-6*0.1</f>
        <v>0</v>
      </c>
      <c r="F132" s="184"/>
      <c r="G132" s="133"/>
      <c r="H132" s="133"/>
      <c r="I132" s="133"/>
      <c r="J132" s="133"/>
      <c r="K132" s="176" t="s">
        <v>330</v>
      </c>
      <c r="L132" s="139"/>
      <c r="M132" s="127"/>
      <c r="N132" s="35"/>
      <c r="O132" s="35"/>
      <c r="P132" s="35"/>
      <c r="Q132" s="35"/>
      <c r="R132" s="35"/>
      <c r="S132" s="35"/>
      <c r="T132" s="35"/>
      <c r="U132" s="35"/>
      <c r="V132" s="35"/>
      <c r="W132" s="35"/>
      <c r="X132" s="35"/>
      <c r="Y132" s="35"/>
      <c r="Z132" s="35"/>
      <c r="AA132" s="35"/>
      <c r="AB132" s="35"/>
    </row>
    <row r="133" spans="2:28" ht="15.75">
      <c r="B133" s="133"/>
      <c r="C133" s="130"/>
      <c r="D133" s="130"/>
      <c r="E133" s="130"/>
      <c r="F133" s="133"/>
      <c r="G133" s="133"/>
      <c r="H133" s="133"/>
      <c r="I133" s="133"/>
      <c r="J133" s="133"/>
      <c r="K133" s="133"/>
      <c r="L133" s="139"/>
      <c r="M133" s="127"/>
      <c r="N133" s="35"/>
      <c r="O133" s="35"/>
      <c r="P133" s="35"/>
      <c r="Q133" s="35"/>
      <c r="R133" s="35"/>
      <c r="S133" s="35"/>
      <c r="T133" s="35"/>
      <c r="U133" s="37"/>
      <c r="V133" s="37"/>
      <c r="W133" s="37"/>
      <c r="X133" s="37"/>
      <c r="Y133" s="37"/>
      <c r="Z133" s="37"/>
      <c r="AA133" s="35"/>
      <c r="AB133" s="35"/>
    </row>
    <row r="134" spans="2:28" ht="15.75">
      <c r="B134" s="158" t="s">
        <v>331</v>
      </c>
      <c r="C134" s="133"/>
      <c r="D134" s="158" t="s">
        <v>332</v>
      </c>
      <c r="E134" s="133"/>
      <c r="F134" s="133"/>
      <c r="G134" s="133"/>
      <c r="H134" s="133"/>
      <c r="I134" s="133"/>
      <c r="J134" s="133"/>
      <c r="K134" s="133"/>
      <c r="L134" s="139" t="s">
        <v>334</v>
      </c>
      <c r="M134" s="127"/>
      <c r="N134" s="35"/>
      <c r="O134" s="35"/>
      <c r="P134" s="35"/>
      <c r="Q134" s="35"/>
      <c r="R134" s="35"/>
      <c r="S134" s="35"/>
      <c r="T134" s="35"/>
      <c r="U134" s="37"/>
      <c r="V134" s="37"/>
      <c r="W134" s="37"/>
      <c r="X134" s="37"/>
      <c r="Y134" s="37"/>
      <c r="Z134" s="37"/>
      <c r="AA134" s="35"/>
      <c r="AB134" s="35"/>
    </row>
    <row r="135" spans="2:28" ht="15.75">
      <c r="B135" s="133"/>
      <c r="C135" s="133"/>
      <c r="D135" s="133" t="s">
        <v>333</v>
      </c>
      <c r="E135" s="133"/>
      <c r="F135" s="133"/>
      <c r="G135" s="133"/>
      <c r="H135" s="133">
        <v>0.2</v>
      </c>
      <c r="I135" s="133"/>
      <c r="J135" s="133"/>
      <c r="K135" s="133"/>
      <c r="L135" s="139" t="s">
        <v>335</v>
      </c>
      <c r="M135" s="127"/>
      <c r="N135" s="35"/>
      <c r="O135" s="35"/>
      <c r="P135" s="35"/>
      <c r="Q135" s="35"/>
      <c r="R135" s="35"/>
      <c r="S135" s="35"/>
      <c r="T135" s="35"/>
      <c r="U135" s="37"/>
      <c r="V135" s="37"/>
      <c r="W135" s="37"/>
      <c r="X135" s="37"/>
      <c r="Y135" s="37"/>
      <c r="Z135" s="37"/>
      <c r="AA135" s="35"/>
      <c r="AB135" s="35"/>
    </row>
    <row r="136" spans="2:28" ht="15.75">
      <c r="B136" s="133"/>
      <c r="C136" s="130"/>
      <c r="D136" s="130"/>
      <c r="E136" s="130"/>
      <c r="F136" s="130"/>
      <c r="G136" s="130"/>
      <c r="H136" s="130"/>
      <c r="I136" s="130"/>
      <c r="J136" s="130"/>
      <c r="K136" s="130"/>
      <c r="L136" s="139"/>
      <c r="N136" s="35"/>
      <c r="O136" s="35"/>
      <c r="P136" s="35"/>
      <c r="Q136" s="35"/>
      <c r="R136" s="35"/>
      <c r="S136" s="35"/>
      <c r="T136" s="35"/>
      <c r="U136" s="41"/>
      <c r="V136" s="37"/>
      <c r="W136" s="37"/>
      <c r="X136" s="37"/>
      <c r="Y136" s="37"/>
      <c r="Z136" s="37"/>
      <c r="AA136" s="35"/>
      <c r="AB136" s="35"/>
    </row>
    <row r="137" spans="2:28" ht="15.75">
      <c r="B137" s="133"/>
      <c r="C137" s="176" t="s">
        <v>32</v>
      </c>
      <c r="D137" s="174">
        <f>'Nitrous Oxide MMS'!O53*100%*$H$135</f>
        <v>2.2101785996301286E-05</v>
      </c>
      <c r="E137" s="174">
        <f>'Nitrous Oxide MMS'!P53*100%*$H$135</f>
        <v>0</v>
      </c>
      <c r="F137" s="174">
        <f>'Nitrous Oxide MMS'!Q53*100%*$H$135</f>
        <v>0.0001719074572395198</v>
      </c>
      <c r="G137" s="174">
        <f>'Nitrous Oxide MMS'!R53*100%*$H$135</f>
        <v>0.00018818533891902506</v>
      </c>
      <c r="H137" s="174">
        <f>'Nitrous Oxide MMS'!S53*100%*$H$135</f>
        <v>0.0004926819154605356</v>
      </c>
      <c r="I137" s="174">
        <f>'Nitrous Oxide MMS'!T53*100%*$H$135</f>
        <v>0.0002007187491777501</v>
      </c>
      <c r="J137" s="174">
        <f>'Nitrous Oxide MMS'!U53*100%*$H$135</f>
        <v>3.0116039097927655E-05</v>
      </c>
      <c r="K137" s="130"/>
      <c r="L137" s="139"/>
      <c r="N137" s="35"/>
      <c r="O137" s="35"/>
      <c r="P137" s="35"/>
      <c r="Q137" s="35"/>
      <c r="R137" s="35"/>
      <c r="S137" s="35"/>
      <c r="T137" s="35"/>
      <c r="U137" s="35"/>
      <c r="V137" s="35"/>
      <c r="W137" s="35"/>
      <c r="X137" s="35"/>
      <c r="Y137" s="35"/>
      <c r="Z137" s="35"/>
      <c r="AA137" s="35"/>
      <c r="AB137" s="35"/>
    </row>
    <row r="138" spans="2:28" ht="15.75">
      <c r="B138" s="133"/>
      <c r="C138" s="176" t="s">
        <v>33</v>
      </c>
      <c r="D138" s="174">
        <f>'Nitrous Oxide MMS'!O54*100%*$H$135</f>
        <v>6.270360679430126E-05</v>
      </c>
      <c r="E138" s="174">
        <f>'Nitrous Oxide MMS'!P54*100%*$H$135</f>
        <v>0.00010096225268487032</v>
      </c>
      <c r="F138" s="174">
        <f>'Nitrous Oxide MMS'!Q54*100%*$H$135</f>
        <v>0</v>
      </c>
      <c r="G138" s="174">
        <f>'Nitrous Oxide MMS'!R54*100%*$H$135</f>
        <v>0.0006416317823630976</v>
      </c>
      <c r="H138" s="174">
        <f>'Nitrous Oxide MMS'!S54*100%*$H$135</f>
        <v>0.00237730973935123</v>
      </c>
      <c r="I138" s="174">
        <f>'Nitrous Oxide MMS'!T54*100%*$H$135</f>
        <v>0</v>
      </c>
      <c r="J138" s="174">
        <f>'Nitrous Oxide MMS'!U54*100%*$H$135</f>
        <v>0.0006091170283502878</v>
      </c>
      <c r="K138" s="130"/>
      <c r="L138" s="153"/>
      <c r="N138" s="35"/>
      <c r="O138" s="35"/>
      <c r="P138" s="35"/>
      <c r="Q138" s="35"/>
      <c r="R138" s="35"/>
      <c r="S138" s="35"/>
      <c r="T138" s="35"/>
      <c r="U138" s="35"/>
      <c r="V138" s="144"/>
      <c r="W138" s="35"/>
      <c r="X138" s="35"/>
      <c r="Y138" s="35"/>
      <c r="Z138" s="35"/>
      <c r="AA138" s="35"/>
      <c r="AB138" s="35"/>
    </row>
    <row r="139" spans="2:28" ht="15.75">
      <c r="B139" s="133"/>
      <c r="C139" s="176" t="s">
        <v>34</v>
      </c>
      <c r="D139" s="174">
        <f>'Nitrous Oxide MMS'!O55*100%*$H$135</f>
        <v>3.950256633830128E-05</v>
      </c>
      <c r="E139" s="174">
        <f>'Nitrous Oxide MMS'!P55*100%*$H$135</f>
        <v>0</v>
      </c>
      <c r="F139" s="174">
        <f>'Nitrous Oxide MMS'!Q55*100%*$H$135</f>
        <v>0.0003597726805730551</v>
      </c>
      <c r="G139" s="174">
        <f>'Nitrous Oxide MMS'!R55*100%*$H$135</f>
        <v>0.0004326942968253881</v>
      </c>
      <c r="H139" s="174">
        <f>'Nitrous Oxide MMS'!S55*100%*$H$135</f>
        <v>0.0014918281685225505</v>
      </c>
      <c r="I139" s="174">
        <f>'Nitrous Oxide MMS'!T55*100%*$H$135</f>
        <v>0.00037149696095544426</v>
      </c>
      <c r="J139" s="174">
        <f>'Nitrous Oxide MMS'!U55*100%*$H$135</f>
        <v>0.0004290410452053524</v>
      </c>
      <c r="K139" s="130"/>
      <c r="L139" s="139"/>
      <c r="N139" s="35"/>
      <c r="O139" s="35"/>
      <c r="P139" s="35"/>
      <c r="Q139" s="35"/>
      <c r="R139" s="35"/>
      <c r="S139" s="35"/>
      <c r="T139" s="35"/>
      <c r="U139" s="35"/>
      <c r="V139" s="35"/>
      <c r="W139" s="35"/>
      <c r="X139" s="35"/>
      <c r="Y139" s="35"/>
      <c r="Z139" s="35"/>
      <c r="AA139" s="35"/>
      <c r="AB139" s="35"/>
    </row>
    <row r="140" spans="2:28" ht="15.75">
      <c r="B140" s="133"/>
      <c r="C140" s="176" t="s">
        <v>35</v>
      </c>
      <c r="D140" s="174">
        <f>'Nitrous Oxide MMS'!O56*100%*$H$135</f>
        <v>3.0802176167301274E-05</v>
      </c>
      <c r="E140" s="174">
        <f>'Nitrous Oxide MMS'!P56*100%*$H$135</f>
        <v>0</v>
      </c>
      <c r="F140" s="174">
        <f>'Nitrous Oxide MMS'!Q56*100%*$H$135</f>
        <v>0.00022301618129780206</v>
      </c>
      <c r="G140" s="174">
        <f>'Nitrous Oxide MMS'!R56*100%*$H$135</f>
        <v>0.0003450197686748933</v>
      </c>
      <c r="H140" s="174">
        <f>'Nitrous Oxide MMS'!S56*100%*$H$135</f>
        <v>0.0009104773415054134</v>
      </c>
      <c r="I140" s="174">
        <f>'Nitrous Oxide MMS'!T56*100%*$H$135</f>
        <v>0.00024814032805884506</v>
      </c>
      <c r="J140" s="174">
        <f>'Nitrous Oxide MMS'!U56*100%*$H$135</f>
        <v>0.0003674089876045584</v>
      </c>
      <c r="K140" s="130"/>
      <c r="L140" s="154"/>
      <c r="N140" s="35"/>
      <c r="O140" s="35"/>
      <c r="P140" s="35"/>
      <c r="Q140" s="35"/>
      <c r="R140" s="35"/>
      <c r="S140" s="35"/>
      <c r="T140" s="35"/>
      <c r="U140" s="42"/>
      <c r="V140" s="42"/>
      <c r="W140" s="42"/>
      <c r="X140" s="42"/>
      <c r="Y140" s="42"/>
      <c r="Z140" s="42"/>
      <c r="AA140" s="35"/>
      <c r="AB140" s="35"/>
    </row>
    <row r="141" spans="2:28" ht="15.75">
      <c r="B141" s="133"/>
      <c r="C141" s="133"/>
      <c r="D141" s="133"/>
      <c r="E141" s="133"/>
      <c r="F141" s="133"/>
      <c r="G141" s="133"/>
      <c r="H141" s="133"/>
      <c r="I141" s="133"/>
      <c r="J141" s="133"/>
      <c r="K141" s="130"/>
      <c r="L141" s="139"/>
      <c r="N141" s="35"/>
      <c r="O141" s="35"/>
      <c r="P141" s="35"/>
      <c r="Q141" s="35"/>
      <c r="R141" s="35"/>
      <c r="S141" s="35"/>
      <c r="T141" s="35"/>
      <c r="U141" s="35"/>
      <c r="V141" s="35"/>
      <c r="W141" s="35"/>
      <c r="X141" s="35"/>
      <c r="Y141" s="35"/>
      <c r="Z141" s="35"/>
      <c r="AA141" s="35"/>
      <c r="AB141" s="35"/>
    </row>
    <row r="142" spans="2:28" ht="15.75">
      <c r="B142" s="158" t="s">
        <v>336</v>
      </c>
      <c r="C142" s="133"/>
      <c r="D142" s="136" t="s">
        <v>337</v>
      </c>
      <c r="E142" s="130"/>
      <c r="F142" s="133"/>
      <c r="G142" s="130"/>
      <c r="H142" s="130"/>
      <c r="I142" s="133"/>
      <c r="J142" s="133"/>
      <c r="K142" s="130" t="s">
        <v>278</v>
      </c>
      <c r="L142" s="139" t="s">
        <v>338</v>
      </c>
      <c r="N142" s="35"/>
      <c r="O142" s="35"/>
      <c r="P142" s="35"/>
      <c r="Q142" s="35"/>
      <c r="R142" s="35"/>
      <c r="S142" s="35"/>
      <c r="T142" s="35"/>
      <c r="U142" s="35"/>
      <c r="V142" s="35"/>
      <c r="W142" s="35"/>
      <c r="X142" s="35"/>
      <c r="Y142" s="35"/>
      <c r="Z142" s="35"/>
      <c r="AA142" s="35"/>
      <c r="AB142" s="35"/>
    </row>
    <row r="143" spans="2:12" ht="15.75">
      <c r="B143" s="133"/>
      <c r="C143" s="133"/>
      <c r="D143" s="130" t="s">
        <v>339</v>
      </c>
      <c r="E143" s="130"/>
      <c r="F143" s="130" t="s">
        <v>340</v>
      </c>
      <c r="G143" s="130"/>
      <c r="H143" s="130"/>
      <c r="I143" s="130"/>
      <c r="J143" s="133"/>
      <c r="K143" s="130"/>
      <c r="L143" s="139" t="s">
        <v>279</v>
      </c>
    </row>
    <row r="144" spans="2:12" ht="15.75">
      <c r="B144" s="133"/>
      <c r="C144" s="133"/>
      <c r="D144" s="130" t="s">
        <v>341</v>
      </c>
      <c r="E144" s="130"/>
      <c r="F144" s="130"/>
      <c r="G144" s="130"/>
      <c r="H144" s="130"/>
      <c r="I144" s="130"/>
      <c r="J144" s="156"/>
      <c r="K144" s="133"/>
      <c r="L144" s="139"/>
    </row>
    <row r="145" spans="2:12" ht="15.75">
      <c r="B145" s="133"/>
      <c r="C145" s="133"/>
      <c r="D145" s="133"/>
      <c r="E145" s="133"/>
      <c r="F145" s="133"/>
      <c r="G145" s="133"/>
      <c r="H145" s="133"/>
      <c r="I145" s="133"/>
      <c r="J145" s="133"/>
      <c r="K145" s="133"/>
      <c r="L145" s="139"/>
    </row>
    <row r="146" spans="2:12" ht="15.75">
      <c r="B146" s="133"/>
      <c r="C146" s="133"/>
      <c r="D146" s="133"/>
      <c r="E146" s="133"/>
      <c r="F146" s="133"/>
      <c r="G146" s="133"/>
      <c r="H146" s="133"/>
      <c r="I146" s="133"/>
      <c r="J146" s="133"/>
      <c r="K146" s="133"/>
      <c r="L146" s="139"/>
    </row>
    <row r="147" spans="2:12" ht="15.75">
      <c r="B147" s="158" t="s">
        <v>342</v>
      </c>
      <c r="C147" s="133"/>
      <c r="D147" s="158" t="s">
        <v>289</v>
      </c>
      <c r="E147" s="133"/>
      <c r="F147" s="133"/>
      <c r="G147" s="133"/>
      <c r="H147" s="133"/>
      <c r="I147" s="133"/>
      <c r="J147" s="133"/>
      <c r="K147" s="133"/>
      <c r="L147" s="139" t="s">
        <v>343</v>
      </c>
    </row>
    <row r="148" spans="2:12" ht="15.75">
      <c r="B148" s="133"/>
      <c r="C148" s="133"/>
      <c r="D148" s="133" t="s">
        <v>344</v>
      </c>
      <c r="E148" s="133"/>
      <c r="F148" s="133"/>
      <c r="G148" s="133"/>
      <c r="H148" s="133"/>
      <c r="I148" s="133"/>
      <c r="J148" s="133"/>
      <c r="K148" s="133" t="s">
        <v>278</v>
      </c>
      <c r="L148" s="139"/>
    </row>
    <row r="149" spans="2:12" ht="15.75">
      <c r="B149" s="133"/>
      <c r="C149" s="133"/>
      <c r="D149" s="133" t="s">
        <v>345</v>
      </c>
      <c r="E149" s="133"/>
      <c r="F149" s="133"/>
      <c r="G149" s="133"/>
      <c r="H149" s="133"/>
      <c r="I149" s="133"/>
      <c r="J149" s="133"/>
      <c r="K149" s="133" t="s">
        <v>256</v>
      </c>
      <c r="L149" s="139"/>
    </row>
    <row r="150" spans="2:12" ht="15.75">
      <c r="B150" s="133"/>
      <c r="C150" s="133"/>
      <c r="D150" s="133"/>
      <c r="E150" s="133"/>
      <c r="F150" s="133"/>
      <c r="G150" s="133"/>
      <c r="H150" s="133"/>
      <c r="I150" s="133"/>
      <c r="J150" s="133"/>
      <c r="K150" s="133"/>
      <c r="L150" s="139"/>
    </row>
    <row r="151" spans="2:12" ht="15.75">
      <c r="B151" s="133" t="s">
        <v>8</v>
      </c>
      <c r="C151" s="133"/>
      <c r="D151" s="177" t="s">
        <v>32</v>
      </c>
      <c r="E151" s="161">
        <f>E129*0.01*$C$17</f>
        <v>0</v>
      </c>
      <c r="F151" s="179"/>
      <c r="G151" s="133"/>
      <c r="H151" s="133"/>
      <c r="I151" s="133"/>
      <c r="J151" s="133"/>
      <c r="K151" s="176" t="s">
        <v>232</v>
      </c>
      <c r="L151" s="139"/>
    </row>
    <row r="152" spans="2:12" ht="15.75">
      <c r="B152" s="133"/>
      <c r="C152" s="133"/>
      <c r="D152" s="180" t="s">
        <v>33</v>
      </c>
      <c r="E152" s="130">
        <f>E130*0.01*$C$17</f>
        <v>0</v>
      </c>
      <c r="F152" s="157"/>
      <c r="G152" s="133"/>
      <c r="H152" s="133"/>
      <c r="I152" s="133"/>
      <c r="J152" s="133"/>
      <c r="K152" s="176" t="s">
        <v>232</v>
      </c>
      <c r="L152" s="139"/>
    </row>
    <row r="153" spans="2:12" ht="15.75">
      <c r="B153" s="133"/>
      <c r="C153" s="133"/>
      <c r="D153" s="180" t="s">
        <v>34</v>
      </c>
      <c r="E153" s="130">
        <f>E131*0.01*$C$17</f>
        <v>0</v>
      </c>
      <c r="F153" s="157"/>
      <c r="G153" s="133"/>
      <c r="H153" s="133"/>
      <c r="I153" s="133"/>
      <c r="J153" s="133"/>
      <c r="K153" s="176" t="s">
        <v>232</v>
      </c>
      <c r="L153" s="139"/>
    </row>
    <row r="154" spans="2:12" ht="15.75">
      <c r="B154" s="133"/>
      <c r="C154" s="133"/>
      <c r="D154" s="182" t="s">
        <v>35</v>
      </c>
      <c r="E154" s="137">
        <f>E132*0.01*$C$17</f>
        <v>0</v>
      </c>
      <c r="F154" s="184"/>
      <c r="G154" s="133"/>
      <c r="H154" s="133"/>
      <c r="I154" s="133"/>
      <c r="J154" s="133"/>
      <c r="K154" s="176" t="s">
        <v>232</v>
      </c>
      <c r="L154" s="139"/>
    </row>
    <row r="155" spans="2:12" ht="15.75">
      <c r="B155" s="133"/>
      <c r="C155" s="133"/>
      <c r="D155" s="133"/>
      <c r="E155" s="133"/>
      <c r="F155" s="133"/>
      <c r="G155" s="133"/>
      <c r="H155" s="133"/>
      <c r="I155" s="133"/>
      <c r="J155" s="133"/>
      <c r="K155" s="133"/>
      <c r="L155" s="139"/>
    </row>
    <row r="156" spans="2:12" ht="15.75">
      <c r="B156" s="133" t="s">
        <v>10</v>
      </c>
      <c r="C156" s="176" t="s">
        <v>32</v>
      </c>
      <c r="D156" s="175">
        <f>D137*0.01*$C$17</f>
        <v>3.4731377994187735E-07</v>
      </c>
      <c r="E156" s="175">
        <f aca="true" t="shared" si="8" ref="E156:J156">E137*0.01*$C$17</f>
        <v>0</v>
      </c>
      <c r="F156" s="175">
        <f t="shared" si="8"/>
        <v>2.7014028994781684E-06</v>
      </c>
      <c r="G156" s="175">
        <f t="shared" si="8"/>
        <v>2.957198183013251E-06</v>
      </c>
      <c r="H156" s="175">
        <f t="shared" si="8"/>
        <v>7.742144385808417E-06</v>
      </c>
      <c r="I156" s="175">
        <f t="shared" si="8"/>
        <v>3.1541517727932156E-06</v>
      </c>
      <c r="J156" s="175">
        <f t="shared" si="8"/>
        <v>4.732520429674346E-07</v>
      </c>
      <c r="K156" s="176" t="s">
        <v>232</v>
      </c>
      <c r="L156" s="139"/>
    </row>
    <row r="157" spans="2:12" ht="15.75">
      <c r="B157" s="133"/>
      <c r="C157" s="176" t="s">
        <v>33</v>
      </c>
      <c r="D157" s="175">
        <f aca="true" t="shared" si="9" ref="D157:J157">D138*0.01*$C$17</f>
        <v>9.85342392481877E-07</v>
      </c>
      <c r="E157" s="175">
        <f t="shared" si="9"/>
        <v>1.586549685047962E-06</v>
      </c>
      <c r="F157" s="175">
        <f t="shared" si="9"/>
        <v>0</v>
      </c>
      <c r="G157" s="175">
        <f t="shared" si="9"/>
        <v>1.0082785151420106E-05</v>
      </c>
      <c r="H157" s="175">
        <f t="shared" si="9"/>
        <v>3.735772447551933E-05</v>
      </c>
      <c r="I157" s="175">
        <f t="shared" si="9"/>
        <v>0</v>
      </c>
      <c r="J157" s="175">
        <f t="shared" si="9"/>
        <v>9.571839016933094E-06</v>
      </c>
      <c r="K157" s="176" t="s">
        <v>232</v>
      </c>
      <c r="L157" s="139"/>
    </row>
    <row r="158" spans="2:12" ht="15.75">
      <c r="B158" s="133"/>
      <c r="C158" s="176" t="s">
        <v>34</v>
      </c>
      <c r="D158" s="175">
        <f aca="true" t="shared" si="10" ref="D158:J158">D139*0.01*$C$17</f>
        <v>6.207546138875915E-07</v>
      </c>
      <c r="E158" s="175">
        <f t="shared" si="10"/>
        <v>0</v>
      </c>
      <c r="F158" s="175">
        <f t="shared" si="10"/>
        <v>5.653570694719438E-06</v>
      </c>
      <c r="G158" s="175">
        <f t="shared" si="10"/>
        <v>6.799481807256099E-06</v>
      </c>
      <c r="H158" s="175">
        <f t="shared" si="10"/>
        <v>2.3443014076782934E-05</v>
      </c>
      <c r="I158" s="175">
        <f t="shared" si="10"/>
        <v>5.837809386442695E-06</v>
      </c>
      <c r="J158" s="175">
        <f t="shared" si="10"/>
        <v>6.74207356751268E-06</v>
      </c>
      <c r="K158" s="176" t="s">
        <v>232</v>
      </c>
      <c r="L158" s="153"/>
    </row>
    <row r="159" spans="2:12" ht="15.75">
      <c r="B159" s="133"/>
      <c r="C159" s="176" t="s">
        <v>35</v>
      </c>
      <c r="D159" s="175">
        <f aca="true" t="shared" si="11" ref="D159:J159">D140*0.01*$C$17</f>
        <v>4.840341969147343E-07</v>
      </c>
      <c r="E159" s="175">
        <f t="shared" si="11"/>
        <v>0</v>
      </c>
      <c r="F159" s="175">
        <f t="shared" si="11"/>
        <v>3.5045399918226037E-06</v>
      </c>
      <c r="G159" s="175">
        <f t="shared" si="11"/>
        <v>5.4217392220340375E-06</v>
      </c>
      <c r="H159" s="175">
        <f t="shared" si="11"/>
        <v>1.4307501080799353E-05</v>
      </c>
      <c r="I159" s="175">
        <f t="shared" si="11"/>
        <v>3.899348012353279E-06</v>
      </c>
      <c r="J159" s="175">
        <f t="shared" si="11"/>
        <v>5.77356980521449E-06</v>
      </c>
      <c r="K159" s="176" t="s">
        <v>232</v>
      </c>
      <c r="L159" s="139"/>
    </row>
    <row r="160" spans="2:12" ht="15.75">
      <c r="B160" s="133"/>
      <c r="C160" s="133"/>
      <c r="D160" s="133"/>
      <c r="E160" s="133"/>
      <c r="F160" s="133"/>
      <c r="G160" s="133"/>
      <c r="H160" s="133"/>
      <c r="I160" s="133"/>
      <c r="J160" s="133"/>
      <c r="K160" s="133"/>
      <c r="L160" s="139"/>
    </row>
    <row r="161" spans="2:12" ht="15.75">
      <c r="B161" s="158" t="s">
        <v>86</v>
      </c>
      <c r="C161" s="133"/>
      <c r="D161" s="177" t="s">
        <v>32</v>
      </c>
      <c r="E161" s="185">
        <f>E151+SUM(D156:J156)</f>
        <v>1.7375463064002364E-05</v>
      </c>
      <c r="F161" s="179"/>
      <c r="G161" s="133"/>
      <c r="H161" s="133"/>
      <c r="I161" s="133"/>
      <c r="J161" s="133"/>
      <c r="K161" s="176" t="s">
        <v>232</v>
      </c>
      <c r="L161" s="139"/>
    </row>
    <row r="162" spans="2:12" ht="15.75">
      <c r="B162" s="133"/>
      <c r="C162" s="133"/>
      <c r="D162" s="180" t="s">
        <v>33</v>
      </c>
      <c r="E162" s="186">
        <f>E152+SUM(D157:J157)</f>
        <v>5.958424072140237E-05</v>
      </c>
      <c r="F162" s="157"/>
      <c r="G162" s="133"/>
      <c r="H162" s="133"/>
      <c r="I162" s="133"/>
      <c r="J162" s="133"/>
      <c r="K162" s="176" t="s">
        <v>232</v>
      </c>
      <c r="L162" s="139"/>
    </row>
    <row r="163" spans="2:12" ht="15.75">
      <c r="B163" s="133"/>
      <c r="C163" s="133"/>
      <c r="D163" s="180" t="s">
        <v>34</v>
      </c>
      <c r="E163" s="186">
        <f>E153+SUM(D158:J158)</f>
        <v>4.909670414660144E-05</v>
      </c>
      <c r="F163" s="157"/>
      <c r="G163" s="133"/>
      <c r="H163" s="133"/>
      <c r="I163" s="133"/>
      <c r="J163" s="133"/>
      <c r="K163" s="176" t="s">
        <v>232</v>
      </c>
      <c r="L163" s="139"/>
    </row>
    <row r="164" spans="2:12" ht="15.75">
      <c r="B164" s="133"/>
      <c r="C164" s="133"/>
      <c r="D164" s="182" t="s">
        <v>35</v>
      </c>
      <c r="E164" s="187">
        <f>E154+SUM(D159:J159)</f>
        <v>3.33907323091385E-05</v>
      </c>
      <c r="F164" s="184"/>
      <c r="G164" s="133"/>
      <c r="H164" s="133"/>
      <c r="I164" s="133"/>
      <c r="J164" s="133"/>
      <c r="K164" s="176" t="s">
        <v>232</v>
      </c>
      <c r="L164" s="139"/>
    </row>
    <row r="165" spans="2:12" ht="15.75">
      <c r="B165" s="133"/>
      <c r="C165" s="133"/>
      <c r="D165" s="133"/>
      <c r="E165" s="133"/>
      <c r="F165" s="133"/>
      <c r="G165" s="133"/>
      <c r="H165" s="133"/>
      <c r="I165" s="133"/>
      <c r="J165" s="133"/>
      <c r="K165" s="133"/>
      <c r="L165" s="139"/>
    </row>
    <row r="166" spans="2:12" ht="15.75">
      <c r="B166" s="158" t="s">
        <v>126</v>
      </c>
      <c r="C166" s="133"/>
      <c r="D166" s="174">
        <f>SUM(E161:E164)</f>
        <v>0.00015944714024114466</v>
      </c>
      <c r="E166" s="133"/>
      <c r="F166" s="133"/>
      <c r="G166" s="133"/>
      <c r="H166" s="133"/>
      <c r="I166" s="133"/>
      <c r="J166" s="133"/>
      <c r="K166" s="176" t="s">
        <v>239</v>
      </c>
      <c r="L166" s="139"/>
    </row>
    <row r="167" spans="2:12" ht="15.75">
      <c r="B167" s="158" t="s">
        <v>346</v>
      </c>
      <c r="C167" s="133"/>
      <c r="D167" s="188">
        <f>D166*310</f>
        <v>0.04942861347475484</v>
      </c>
      <c r="E167" s="133"/>
      <c r="F167" s="133"/>
      <c r="G167" s="133"/>
      <c r="H167" s="133"/>
      <c r="I167" s="133"/>
      <c r="J167" s="133"/>
      <c r="K167" s="176" t="s">
        <v>184</v>
      </c>
      <c r="L167" s="139"/>
    </row>
    <row r="168" spans="2:12" ht="15.75">
      <c r="B168" s="133"/>
      <c r="C168" s="133"/>
      <c r="D168" s="133"/>
      <c r="E168" s="133"/>
      <c r="F168" s="133"/>
      <c r="G168" s="133"/>
      <c r="H168" s="133"/>
      <c r="I168" s="133"/>
      <c r="J168" s="133"/>
      <c r="K168" s="133"/>
      <c r="L168" s="139"/>
    </row>
    <row r="169" spans="2:12" ht="15.75">
      <c r="B169" s="133"/>
      <c r="C169" s="133"/>
      <c r="D169" s="133"/>
      <c r="E169" s="133"/>
      <c r="F169" s="133"/>
      <c r="G169" s="133"/>
      <c r="H169" s="133"/>
      <c r="I169" s="133"/>
      <c r="J169" s="133"/>
      <c r="K169" s="133"/>
      <c r="L169" s="139"/>
    </row>
    <row r="170" spans="2:12" ht="15.75">
      <c r="B170" s="133" t="s">
        <v>347</v>
      </c>
      <c r="C170" s="133"/>
      <c r="D170" s="133"/>
      <c r="E170" s="133"/>
      <c r="F170" s="133"/>
      <c r="G170" s="133"/>
      <c r="H170" s="133"/>
      <c r="I170" s="133"/>
      <c r="J170" s="156"/>
      <c r="K170" s="133"/>
      <c r="L170" s="139"/>
    </row>
    <row r="171" spans="2:12" ht="15.75">
      <c r="B171" s="158" t="s">
        <v>348</v>
      </c>
      <c r="C171" s="133"/>
      <c r="D171" s="158" t="s">
        <v>349</v>
      </c>
      <c r="E171" s="133"/>
      <c r="F171" s="133"/>
      <c r="G171" s="133"/>
      <c r="H171" s="133"/>
      <c r="I171" s="133"/>
      <c r="J171" s="133"/>
      <c r="K171" s="133"/>
      <c r="L171" s="139" t="s">
        <v>350</v>
      </c>
    </row>
    <row r="172" spans="2:12" ht="15.75">
      <c r="B172" s="133"/>
      <c r="C172" s="133"/>
      <c r="D172" s="133" t="s">
        <v>351</v>
      </c>
      <c r="E172" s="133"/>
      <c r="F172" s="133"/>
      <c r="G172" s="133"/>
      <c r="H172" s="133"/>
      <c r="I172" s="133"/>
      <c r="J172" s="133"/>
      <c r="K172" s="133" t="s">
        <v>278</v>
      </c>
      <c r="L172" s="139"/>
    </row>
    <row r="173" spans="2:12" ht="15.75">
      <c r="B173" s="133"/>
      <c r="C173" s="133"/>
      <c r="D173" s="133" t="s">
        <v>354</v>
      </c>
      <c r="E173" s="133"/>
      <c r="F173" s="133"/>
      <c r="G173" s="133"/>
      <c r="H173" s="170">
        <f>IF('Data input'!N10="Y",0,1)</f>
        <v>0</v>
      </c>
      <c r="I173" s="133"/>
      <c r="J173" s="133"/>
      <c r="K173" s="133"/>
      <c r="L173" s="139" t="s">
        <v>352</v>
      </c>
    </row>
    <row r="174" spans="2:12" ht="15.75">
      <c r="B174" s="133"/>
      <c r="C174" s="133"/>
      <c r="D174" s="133" t="s">
        <v>355</v>
      </c>
      <c r="E174" s="133"/>
      <c r="F174" s="133"/>
      <c r="G174" s="133"/>
      <c r="H174" s="170">
        <f>0.3</f>
        <v>0.3</v>
      </c>
      <c r="I174" s="133"/>
      <c r="J174" s="133"/>
      <c r="K174" s="133" t="s">
        <v>329</v>
      </c>
      <c r="L174" s="139"/>
    </row>
    <row r="175" spans="2:12" ht="15.75">
      <c r="B175" s="133"/>
      <c r="C175" s="133"/>
      <c r="D175" s="133"/>
      <c r="E175" s="133"/>
      <c r="F175" s="133"/>
      <c r="G175" s="133"/>
      <c r="H175" s="133"/>
      <c r="I175" s="133"/>
      <c r="J175" s="133"/>
      <c r="K175" s="133"/>
      <c r="L175" s="139"/>
    </row>
    <row r="176" spans="2:12" ht="15.75">
      <c r="B176" s="133"/>
      <c r="C176" s="133"/>
      <c r="D176" s="177" t="s">
        <v>32</v>
      </c>
      <c r="E176" s="295">
        <f>SUM(D23,D28)*$H$173*$H$174</f>
        <v>0</v>
      </c>
      <c r="F176" s="179"/>
      <c r="G176" s="133"/>
      <c r="H176" s="133"/>
      <c r="I176" s="133"/>
      <c r="J176" s="133"/>
      <c r="K176" s="133"/>
      <c r="L176" s="139"/>
    </row>
    <row r="177" spans="2:12" ht="15.75">
      <c r="B177" s="133"/>
      <c r="C177" s="133"/>
      <c r="D177" s="180" t="s">
        <v>33</v>
      </c>
      <c r="E177" s="296">
        <f>SUM(D24,D29)*$H$173*$H$174</f>
        <v>0</v>
      </c>
      <c r="F177" s="157"/>
      <c r="G177" s="133"/>
      <c r="H177" s="133"/>
      <c r="I177" s="133"/>
      <c r="J177" s="133"/>
      <c r="K177" s="133"/>
      <c r="L177" s="139"/>
    </row>
    <row r="178" spans="2:12" ht="15.75">
      <c r="B178" s="133"/>
      <c r="C178" s="133"/>
      <c r="D178" s="180" t="s">
        <v>34</v>
      </c>
      <c r="E178" s="296">
        <f>SUM(D25,D30)*$H$173*$H$174</f>
        <v>0</v>
      </c>
      <c r="F178" s="157"/>
      <c r="G178" s="133"/>
      <c r="H178" s="133"/>
      <c r="I178" s="133"/>
      <c r="J178" s="133"/>
      <c r="K178" s="133"/>
      <c r="L178" s="139"/>
    </row>
    <row r="179" spans="2:12" ht="15.75">
      <c r="B179" s="133"/>
      <c r="C179" s="133"/>
      <c r="D179" s="182" t="s">
        <v>35</v>
      </c>
      <c r="E179" s="297">
        <f>SUM(D26,D31)*$H$173*$H$174</f>
        <v>0</v>
      </c>
      <c r="F179" s="184"/>
      <c r="G179" s="133"/>
      <c r="H179" s="133"/>
      <c r="I179" s="133"/>
      <c r="J179" s="133"/>
      <c r="K179" s="133"/>
      <c r="L179" s="139"/>
    </row>
    <row r="180" spans="2:12" ht="15.75">
      <c r="B180" s="133"/>
      <c r="C180" s="133"/>
      <c r="D180" s="133"/>
      <c r="E180" s="133"/>
      <c r="F180" s="133"/>
      <c r="G180" s="133"/>
      <c r="H180" s="133"/>
      <c r="I180" s="133"/>
      <c r="J180" s="133"/>
      <c r="K180" s="133"/>
      <c r="L180" s="139"/>
    </row>
    <row r="181" spans="2:12" ht="15.75">
      <c r="B181" s="158" t="s">
        <v>356</v>
      </c>
      <c r="C181" s="133"/>
      <c r="D181" s="133"/>
      <c r="E181" s="133"/>
      <c r="F181" s="133"/>
      <c r="G181" s="133"/>
      <c r="H181" s="133"/>
      <c r="I181" s="133"/>
      <c r="J181" s="133"/>
      <c r="K181" s="133"/>
      <c r="L181" s="139"/>
    </row>
    <row r="182" spans="2:12" ht="15.75">
      <c r="B182" s="133"/>
      <c r="C182" s="133"/>
      <c r="D182" s="158" t="s">
        <v>357</v>
      </c>
      <c r="E182" s="133"/>
      <c r="F182" s="133"/>
      <c r="G182" s="133"/>
      <c r="H182" s="133"/>
      <c r="I182" s="133"/>
      <c r="J182" s="133"/>
      <c r="K182" s="133" t="s">
        <v>330</v>
      </c>
      <c r="L182" s="139" t="s">
        <v>358</v>
      </c>
    </row>
    <row r="183" spans="2:12" ht="15.75">
      <c r="B183" s="133"/>
      <c r="C183" s="133"/>
      <c r="D183" s="133" t="s">
        <v>359</v>
      </c>
      <c r="E183" s="133"/>
      <c r="F183" s="133"/>
      <c r="G183" s="133"/>
      <c r="H183" s="133"/>
      <c r="I183" s="133"/>
      <c r="J183" s="133"/>
      <c r="K183" s="133" t="s">
        <v>330</v>
      </c>
      <c r="L183" s="139"/>
    </row>
    <row r="184" spans="2:12" ht="15.75">
      <c r="B184" s="133"/>
      <c r="C184" s="133"/>
      <c r="D184" s="133" t="s">
        <v>360</v>
      </c>
      <c r="E184" s="133"/>
      <c r="F184" s="133"/>
      <c r="G184" s="133"/>
      <c r="H184" s="133"/>
      <c r="I184" s="133"/>
      <c r="J184" s="133"/>
      <c r="K184" s="133" t="s">
        <v>330</v>
      </c>
      <c r="L184" s="139"/>
    </row>
    <row r="185" spans="2:12" ht="15.75">
      <c r="B185" s="133"/>
      <c r="C185" s="133"/>
      <c r="D185" s="133" t="s">
        <v>361</v>
      </c>
      <c r="E185" s="133"/>
      <c r="F185" s="133"/>
      <c r="G185" s="133"/>
      <c r="H185" s="133"/>
      <c r="I185" s="133"/>
      <c r="J185" s="133"/>
      <c r="K185" s="133" t="s">
        <v>330</v>
      </c>
      <c r="L185" s="139"/>
    </row>
    <row r="186" spans="2:12" ht="15.75">
      <c r="B186" s="133"/>
      <c r="C186" s="133"/>
      <c r="D186" s="133"/>
      <c r="E186" s="133"/>
      <c r="F186" s="133"/>
      <c r="G186" s="133"/>
      <c r="H186" s="133"/>
      <c r="I186" s="133"/>
      <c r="J186" s="133"/>
      <c r="K186" s="133"/>
      <c r="L186" s="139"/>
    </row>
    <row r="187" spans="2:12" ht="15.75">
      <c r="B187" s="133"/>
      <c r="C187" s="176" t="s">
        <v>32</v>
      </c>
      <c r="D187" s="188">
        <f>SUM($F$55,D99,D93)*$H$173*$H$174</f>
        <v>0</v>
      </c>
      <c r="E187" s="188">
        <f aca="true" t="shared" si="12" ref="E187:J187">SUM($F$55,E99,E93)*$H$173*$H$174</f>
        <v>0</v>
      </c>
      <c r="F187" s="188">
        <f t="shared" si="12"/>
        <v>0</v>
      </c>
      <c r="G187" s="188">
        <f t="shared" si="12"/>
        <v>0</v>
      </c>
      <c r="H187" s="188">
        <f t="shared" si="12"/>
        <v>0</v>
      </c>
      <c r="I187" s="188">
        <f t="shared" si="12"/>
        <v>0</v>
      </c>
      <c r="J187" s="188">
        <f t="shared" si="12"/>
        <v>0</v>
      </c>
      <c r="K187" s="133" t="s">
        <v>330</v>
      </c>
      <c r="L187" s="139"/>
    </row>
    <row r="188" spans="2:12" ht="15.75">
      <c r="B188" s="133"/>
      <c r="C188" s="176" t="s">
        <v>33</v>
      </c>
      <c r="D188" s="188">
        <f aca="true" t="shared" si="13" ref="D188:J188">SUM($F$55,D100,D94)*$H$173*$H$174</f>
        <v>0</v>
      </c>
      <c r="E188" s="188">
        <f t="shared" si="13"/>
        <v>0</v>
      </c>
      <c r="F188" s="188">
        <f t="shared" si="13"/>
        <v>0</v>
      </c>
      <c r="G188" s="188">
        <f t="shared" si="13"/>
        <v>0</v>
      </c>
      <c r="H188" s="188">
        <f t="shared" si="13"/>
        <v>0</v>
      </c>
      <c r="I188" s="188">
        <f t="shared" si="13"/>
        <v>0</v>
      </c>
      <c r="J188" s="188">
        <f t="shared" si="13"/>
        <v>0</v>
      </c>
      <c r="K188" s="133" t="s">
        <v>330</v>
      </c>
      <c r="L188" s="139"/>
    </row>
    <row r="189" spans="2:12" ht="15.75">
      <c r="B189" s="133"/>
      <c r="C189" s="176" t="s">
        <v>34</v>
      </c>
      <c r="D189" s="188">
        <f aca="true" t="shared" si="14" ref="D189:J189">SUM($F$55,D101,D95)*$H$173*$H$174</f>
        <v>0</v>
      </c>
      <c r="E189" s="188">
        <f t="shared" si="14"/>
        <v>0</v>
      </c>
      <c r="F189" s="188">
        <f t="shared" si="14"/>
        <v>0</v>
      </c>
      <c r="G189" s="188">
        <f t="shared" si="14"/>
        <v>0</v>
      </c>
      <c r="H189" s="188">
        <f t="shared" si="14"/>
        <v>0</v>
      </c>
      <c r="I189" s="188">
        <f t="shared" si="14"/>
        <v>0</v>
      </c>
      <c r="J189" s="188">
        <f t="shared" si="14"/>
        <v>0</v>
      </c>
      <c r="K189" s="133" t="s">
        <v>330</v>
      </c>
      <c r="L189" s="139"/>
    </row>
    <row r="190" spans="2:12" ht="15.75">
      <c r="B190" s="133"/>
      <c r="C190" s="176" t="s">
        <v>35</v>
      </c>
      <c r="D190" s="188">
        <f aca="true" t="shared" si="15" ref="D190:J190">SUM($F$55,D102,D96)*$H$173*$H$174</f>
        <v>0</v>
      </c>
      <c r="E190" s="188">
        <f t="shared" si="15"/>
        <v>0</v>
      </c>
      <c r="F190" s="188">
        <f t="shared" si="15"/>
        <v>0</v>
      </c>
      <c r="G190" s="188">
        <f t="shared" si="15"/>
        <v>0</v>
      </c>
      <c r="H190" s="188">
        <f t="shared" si="15"/>
        <v>0</v>
      </c>
      <c r="I190" s="188">
        <f t="shared" si="15"/>
        <v>0</v>
      </c>
      <c r="J190" s="188">
        <f t="shared" si="15"/>
        <v>0</v>
      </c>
      <c r="K190" s="133" t="s">
        <v>330</v>
      </c>
      <c r="L190" s="139"/>
    </row>
    <row r="191" spans="2:12" ht="15.75">
      <c r="B191" s="133"/>
      <c r="C191" s="133"/>
      <c r="D191" s="133"/>
      <c r="E191" s="133"/>
      <c r="F191" s="133"/>
      <c r="G191" s="133"/>
      <c r="H191" s="133"/>
      <c r="I191" s="133"/>
      <c r="J191" s="133"/>
      <c r="K191" s="133"/>
      <c r="L191" s="139"/>
    </row>
    <row r="192" spans="2:12" ht="15.75">
      <c r="B192" s="158" t="s">
        <v>364</v>
      </c>
      <c r="C192" s="133"/>
      <c r="D192" s="158" t="s">
        <v>289</v>
      </c>
      <c r="E192" s="133"/>
      <c r="F192" s="133"/>
      <c r="G192" s="133"/>
      <c r="H192" s="133"/>
      <c r="I192" s="133"/>
      <c r="J192" s="133"/>
      <c r="K192" s="133"/>
      <c r="L192" s="139" t="s">
        <v>365</v>
      </c>
    </row>
    <row r="193" spans="2:12" ht="15.75">
      <c r="B193" s="133"/>
      <c r="C193" s="133"/>
      <c r="D193" s="133" t="s">
        <v>366</v>
      </c>
      <c r="E193" s="133"/>
      <c r="F193" s="133"/>
      <c r="G193" s="133"/>
      <c r="H193" s="133"/>
      <c r="I193" s="133"/>
      <c r="J193" s="133"/>
      <c r="K193" s="133" t="s">
        <v>278</v>
      </c>
      <c r="L193" s="139"/>
    </row>
    <row r="194" spans="2:12" ht="15.75">
      <c r="B194" s="133"/>
      <c r="C194" s="133"/>
      <c r="D194" s="133" t="s">
        <v>367</v>
      </c>
      <c r="E194" s="133"/>
      <c r="F194" s="133"/>
      <c r="G194" s="133"/>
      <c r="H194" s="133">
        <f>0.0125</f>
        <v>0.0125</v>
      </c>
      <c r="I194" s="133"/>
      <c r="J194" s="133"/>
      <c r="K194" s="133" t="s">
        <v>256</v>
      </c>
      <c r="L194" s="139"/>
    </row>
    <row r="195" spans="2:12" ht="15.75">
      <c r="B195" s="133"/>
      <c r="C195" s="133"/>
      <c r="D195" s="133"/>
      <c r="E195" s="133"/>
      <c r="F195" s="133"/>
      <c r="G195" s="133"/>
      <c r="H195" s="133"/>
      <c r="I195" s="133"/>
      <c r="J195" s="133"/>
      <c r="K195" s="133"/>
      <c r="L195" s="139"/>
    </row>
    <row r="196" spans="2:12" ht="15.75">
      <c r="B196" s="133" t="s">
        <v>8</v>
      </c>
      <c r="C196" s="133"/>
      <c r="D196" s="177" t="s">
        <v>32</v>
      </c>
      <c r="E196" s="189">
        <f>E176*$H$194*$C$17</f>
        <v>0</v>
      </c>
      <c r="F196" s="179"/>
      <c r="G196" s="133"/>
      <c r="H196" s="133"/>
      <c r="I196" s="133"/>
      <c r="J196" s="133"/>
      <c r="K196" s="133" t="s">
        <v>232</v>
      </c>
      <c r="L196" s="139"/>
    </row>
    <row r="197" spans="2:12" ht="15.75">
      <c r="B197" s="133"/>
      <c r="C197" s="133"/>
      <c r="D197" s="180" t="s">
        <v>33</v>
      </c>
      <c r="E197" s="190">
        <f>E177*$H$194*$C$17</f>
        <v>0</v>
      </c>
      <c r="F197" s="157"/>
      <c r="G197" s="133"/>
      <c r="H197" s="133"/>
      <c r="I197" s="133"/>
      <c r="J197" s="133"/>
      <c r="K197" s="133" t="s">
        <v>232</v>
      </c>
      <c r="L197" s="139"/>
    </row>
    <row r="198" spans="2:12" ht="15.75">
      <c r="B198" s="133"/>
      <c r="C198" s="133"/>
      <c r="D198" s="180" t="s">
        <v>34</v>
      </c>
      <c r="E198" s="190">
        <f>E178*$H$194*$C$17</f>
        <v>0</v>
      </c>
      <c r="F198" s="157"/>
      <c r="G198" s="133"/>
      <c r="H198" s="133"/>
      <c r="I198" s="133"/>
      <c r="J198" s="133"/>
      <c r="K198" s="133" t="s">
        <v>232</v>
      </c>
      <c r="L198" s="139"/>
    </row>
    <row r="199" spans="2:12" ht="15.75">
      <c r="B199" s="133"/>
      <c r="C199" s="133"/>
      <c r="D199" s="182" t="s">
        <v>35</v>
      </c>
      <c r="E199" s="191">
        <f>E179*$H$194*$C$17</f>
        <v>0</v>
      </c>
      <c r="F199" s="184"/>
      <c r="G199" s="133"/>
      <c r="H199" s="133"/>
      <c r="I199" s="133"/>
      <c r="J199" s="133"/>
      <c r="K199" s="133" t="s">
        <v>232</v>
      </c>
      <c r="L199" s="139"/>
    </row>
    <row r="200" spans="2:12" ht="15.75">
      <c r="B200" s="133"/>
      <c r="C200" s="133"/>
      <c r="D200" s="133"/>
      <c r="E200" s="133"/>
      <c r="F200" s="133"/>
      <c r="G200" s="133"/>
      <c r="H200" s="133"/>
      <c r="I200" s="133"/>
      <c r="J200" s="133"/>
      <c r="K200" s="133"/>
      <c r="L200" s="139"/>
    </row>
    <row r="201" spans="2:12" ht="15.75">
      <c r="B201" s="133" t="s">
        <v>10</v>
      </c>
      <c r="C201" s="176" t="s">
        <v>32</v>
      </c>
      <c r="D201" s="172">
        <f>D187*$H$194*$C$17</f>
        <v>0</v>
      </c>
      <c r="E201" s="172">
        <f aca="true" t="shared" si="16" ref="E201:J201">E187*$H$194*$C$17</f>
        <v>0</v>
      </c>
      <c r="F201" s="172">
        <f t="shared" si="16"/>
        <v>0</v>
      </c>
      <c r="G201" s="172">
        <f t="shared" si="16"/>
        <v>0</v>
      </c>
      <c r="H201" s="172">
        <f t="shared" si="16"/>
        <v>0</v>
      </c>
      <c r="I201" s="172">
        <f t="shared" si="16"/>
        <v>0</v>
      </c>
      <c r="J201" s="172">
        <f t="shared" si="16"/>
        <v>0</v>
      </c>
      <c r="K201" s="133" t="s">
        <v>232</v>
      </c>
      <c r="L201" s="139"/>
    </row>
    <row r="202" spans="2:12" ht="15.75">
      <c r="B202" s="133"/>
      <c r="C202" s="176" t="s">
        <v>33</v>
      </c>
      <c r="D202" s="172">
        <f aca="true" t="shared" si="17" ref="D202:J202">D188*$H$194*$C$17</f>
        <v>0</v>
      </c>
      <c r="E202" s="172">
        <f t="shared" si="17"/>
        <v>0</v>
      </c>
      <c r="F202" s="172">
        <f t="shared" si="17"/>
        <v>0</v>
      </c>
      <c r="G202" s="172">
        <f t="shared" si="17"/>
        <v>0</v>
      </c>
      <c r="H202" s="172">
        <f t="shared" si="17"/>
        <v>0</v>
      </c>
      <c r="I202" s="172">
        <f t="shared" si="17"/>
        <v>0</v>
      </c>
      <c r="J202" s="172">
        <f t="shared" si="17"/>
        <v>0</v>
      </c>
      <c r="K202" s="133" t="s">
        <v>232</v>
      </c>
      <c r="L202" s="139"/>
    </row>
    <row r="203" spans="2:12" ht="15.75">
      <c r="B203" s="133"/>
      <c r="C203" s="176" t="s">
        <v>34</v>
      </c>
      <c r="D203" s="172">
        <f aca="true" t="shared" si="18" ref="D203:J203">D189*$H$194*$C$17</f>
        <v>0</v>
      </c>
      <c r="E203" s="172">
        <f t="shared" si="18"/>
        <v>0</v>
      </c>
      <c r="F203" s="172">
        <f t="shared" si="18"/>
        <v>0</v>
      </c>
      <c r="G203" s="172">
        <f t="shared" si="18"/>
        <v>0</v>
      </c>
      <c r="H203" s="172">
        <f t="shared" si="18"/>
        <v>0</v>
      </c>
      <c r="I203" s="172">
        <f t="shared" si="18"/>
        <v>0</v>
      </c>
      <c r="J203" s="172">
        <f t="shared" si="18"/>
        <v>0</v>
      </c>
      <c r="K203" s="133" t="s">
        <v>232</v>
      </c>
      <c r="L203" s="139"/>
    </row>
    <row r="204" spans="2:12" ht="15.75">
      <c r="B204" s="133"/>
      <c r="C204" s="176" t="s">
        <v>35</v>
      </c>
      <c r="D204" s="172">
        <f aca="true" t="shared" si="19" ref="D204:J204">D190*$H$194*$C$17</f>
        <v>0</v>
      </c>
      <c r="E204" s="172">
        <f t="shared" si="19"/>
        <v>0</v>
      </c>
      <c r="F204" s="172">
        <f t="shared" si="19"/>
        <v>0</v>
      </c>
      <c r="G204" s="172">
        <f t="shared" si="19"/>
        <v>0</v>
      </c>
      <c r="H204" s="172">
        <f t="shared" si="19"/>
        <v>0</v>
      </c>
      <c r="I204" s="172">
        <f t="shared" si="19"/>
        <v>0</v>
      </c>
      <c r="J204" s="172">
        <f t="shared" si="19"/>
        <v>0</v>
      </c>
      <c r="K204" s="133" t="s">
        <v>232</v>
      </c>
      <c r="L204" s="139"/>
    </row>
    <row r="205" spans="2:12" ht="15.75">
      <c r="B205" s="133"/>
      <c r="C205" s="170"/>
      <c r="D205" s="172"/>
      <c r="E205" s="172"/>
      <c r="F205" s="172"/>
      <c r="G205" s="172"/>
      <c r="H205" s="172"/>
      <c r="I205" s="133"/>
      <c r="J205" s="133"/>
      <c r="K205" s="133"/>
      <c r="L205" s="139"/>
    </row>
    <row r="206" spans="2:12" ht="15.75">
      <c r="B206" s="158" t="s">
        <v>86</v>
      </c>
      <c r="C206" s="133"/>
      <c r="D206" s="177" t="s">
        <v>32</v>
      </c>
      <c r="E206" s="189">
        <f>E196+SUM(D201:J201)</f>
        <v>0</v>
      </c>
      <c r="F206" s="192"/>
      <c r="G206" s="172"/>
      <c r="H206" s="172"/>
      <c r="I206" s="133"/>
      <c r="J206" s="133"/>
      <c r="K206" s="133" t="s">
        <v>232</v>
      </c>
      <c r="L206" s="139"/>
    </row>
    <row r="207" spans="2:12" ht="15.75">
      <c r="B207" s="133"/>
      <c r="C207" s="133"/>
      <c r="D207" s="180" t="s">
        <v>33</v>
      </c>
      <c r="E207" s="190">
        <f>E197+SUM(D202:J202)</f>
        <v>0</v>
      </c>
      <c r="F207" s="193"/>
      <c r="G207" s="172"/>
      <c r="H207" s="172"/>
      <c r="I207" s="133"/>
      <c r="J207" s="133"/>
      <c r="K207" s="133" t="s">
        <v>232</v>
      </c>
      <c r="L207" s="139"/>
    </row>
    <row r="208" spans="2:12" ht="15.75">
      <c r="B208" s="133"/>
      <c r="C208" s="133"/>
      <c r="D208" s="180" t="s">
        <v>34</v>
      </c>
      <c r="E208" s="190">
        <f>E198+SUM(D203:J203)</f>
        <v>0</v>
      </c>
      <c r="F208" s="193"/>
      <c r="G208" s="172"/>
      <c r="H208" s="172"/>
      <c r="I208" s="133"/>
      <c r="J208" s="133"/>
      <c r="K208" s="133" t="s">
        <v>232</v>
      </c>
      <c r="L208" s="139"/>
    </row>
    <row r="209" spans="2:12" ht="15.75">
      <c r="B209" s="133"/>
      <c r="C209" s="133"/>
      <c r="D209" s="182" t="s">
        <v>35</v>
      </c>
      <c r="E209" s="191">
        <f>E199+SUM(D204:J204)</f>
        <v>0</v>
      </c>
      <c r="F209" s="194"/>
      <c r="G209" s="172"/>
      <c r="H209" s="172"/>
      <c r="I209" s="133"/>
      <c r="J209" s="133"/>
      <c r="K209" s="133" t="s">
        <v>232</v>
      </c>
      <c r="L209" s="139"/>
    </row>
    <row r="210" spans="2:12" ht="15.75">
      <c r="B210" s="133"/>
      <c r="C210" s="133"/>
      <c r="D210" s="133"/>
      <c r="E210" s="133"/>
      <c r="F210" s="133"/>
      <c r="G210" s="133"/>
      <c r="H210" s="133"/>
      <c r="I210" s="133"/>
      <c r="J210" s="133"/>
      <c r="K210" s="133"/>
      <c r="L210" s="139"/>
    </row>
    <row r="211" spans="2:12" ht="15.75">
      <c r="B211" s="133"/>
      <c r="C211" s="133"/>
      <c r="D211" s="133"/>
      <c r="E211" s="133"/>
      <c r="F211" s="133"/>
      <c r="G211" s="133"/>
      <c r="H211" s="133"/>
      <c r="I211" s="133"/>
      <c r="J211" s="133"/>
      <c r="K211" s="133"/>
      <c r="L211" s="139"/>
    </row>
    <row r="212" spans="2:12" ht="15.75">
      <c r="B212" s="158" t="s">
        <v>126</v>
      </c>
      <c r="C212" s="133"/>
      <c r="D212" s="159">
        <f>SUM(E206:E209)</f>
        <v>0</v>
      </c>
      <c r="E212" s="133"/>
      <c r="F212" s="133"/>
      <c r="G212" s="133"/>
      <c r="H212" s="133"/>
      <c r="I212" s="133"/>
      <c r="J212" s="133"/>
      <c r="K212" s="133" t="s">
        <v>239</v>
      </c>
      <c r="L212" s="139"/>
    </row>
    <row r="213" spans="2:12" ht="15.75">
      <c r="B213" s="158" t="s">
        <v>368</v>
      </c>
      <c r="C213" s="133"/>
      <c r="D213" s="159">
        <f>D212*310</f>
        <v>0</v>
      </c>
      <c r="E213" s="133"/>
      <c r="F213" s="133"/>
      <c r="G213" s="133"/>
      <c r="H213" s="133"/>
      <c r="I213" s="133"/>
      <c r="J213" s="133"/>
      <c r="K213" s="133" t="s">
        <v>184</v>
      </c>
      <c r="L213" s="139"/>
    </row>
    <row r="214" spans="2:12" ht="15.75">
      <c r="B214" s="133"/>
      <c r="C214" s="133"/>
      <c r="D214" s="159"/>
      <c r="E214" s="133"/>
      <c r="F214" s="133"/>
      <c r="G214" s="133"/>
      <c r="H214" s="133"/>
      <c r="I214" s="133"/>
      <c r="J214" s="133"/>
      <c r="K214" s="133"/>
      <c r="L214" s="139"/>
    </row>
    <row r="215" spans="2:12" ht="15.75">
      <c r="B215" s="133"/>
      <c r="C215" s="133"/>
      <c r="D215" s="159"/>
      <c r="E215" s="133"/>
      <c r="F215" s="133"/>
      <c r="G215" s="133"/>
      <c r="H215" s="133"/>
      <c r="I215" s="133"/>
      <c r="J215" s="133"/>
      <c r="K215" s="133"/>
      <c r="L215" s="139"/>
    </row>
    <row r="216" spans="2:12" ht="15.75">
      <c r="B216" s="136" t="s">
        <v>369</v>
      </c>
      <c r="C216" s="130"/>
      <c r="D216" s="195">
        <f>D167+D213</f>
        <v>0.04942861347475484</v>
      </c>
      <c r="E216" s="130"/>
      <c r="F216" s="130"/>
      <c r="G216" s="130"/>
      <c r="H216" s="130"/>
      <c r="I216" s="130"/>
      <c r="J216" s="130"/>
      <c r="K216" s="130" t="s">
        <v>184</v>
      </c>
      <c r="L216" s="147"/>
    </row>
    <row r="217" spans="2:12" ht="15.75">
      <c r="B217" s="168" t="s">
        <v>369</v>
      </c>
      <c r="C217" s="137"/>
      <c r="D217" s="196">
        <f>D216*10^3</f>
        <v>49.42861347475484</v>
      </c>
      <c r="E217" s="137"/>
      <c r="F217" s="137"/>
      <c r="G217" s="137"/>
      <c r="H217" s="137"/>
      <c r="I217" s="137"/>
      <c r="J217" s="137"/>
      <c r="K217" s="137" t="s">
        <v>185</v>
      </c>
      <c r="L217" s="155"/>
    </row>
    <row r="218" ht="15.75">
      <c r="L218"/>
    </row>
  </sheetData>
  <sheetProtection sheet="1"/>
  <printOptions/>
  <pageMargins left="0.75" right="0.75" top="1" bottom="1" header="0.5" footer="0.5"/>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K31"/>
  <sheetViews>
    <sheetView showGridLines="0" zoomScale="80" zoomScaleNormal="80" zoomScalePageLayoutView="0" workbookViewId="0" topLeftCell="A1">
      <selection activeCell="A1" sqref="A1"/>
    </sheetView>
  </sheetViews>
  <sheetFormatPr defaultColWidth="8.8515625" defaultRowHeight="22.5" customHeight="1"/>
  <cols>
    <col min="1" max="1" width="2.7109375" style="1" customWidth="1"/>
    <col min="2" max="2" width="36.57421875" style="1" bestFit="1" customWidth="1"/>
    <col min="3" max="5" width="10.7109375" style="1" customWidth="1"/>
    <col min="6" max="6" width="12.421875" style="1" customWidth="1"/>
    <col min="7" max="33" width="10.7109375" style="1" customWidth="1"/>
    <col min="34" max="16384" width="8.8515625" style="1" customWidth="1"/>
  </cols>
  <sheetData>
    <row r="1" ht="22.5" customHeight="1">
      <c r="A1" s="47" t="s">
        <v>43</v>
      </c>
    </row>
    <row r="2" spans="1:37" ht="15" customHeight="1">
      <c r="A2" s="12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2:37" ht="21" customHeight="1">
      <c r="B3" s="323" t="s">
        <v>435</v>
      </c>
      <c r="C3" s="324">
        <v>0</v>
      </c>
      <c r="D3" s="324">
        <f>C3+1</f>
        <v>1</v>
      </c>
      <c r="E3" s="324">
        <f aca="true" t="shared" si="0" ref="E3:AG3">D3+1</f>
        <v>2</v>
      </c>
      <c r="F3" s="324">
        <f t="shared" si="0"/>
        <v>3</v>
      </c>
      <c r="G3" s="324">
        <f t="shared" si="0"/>
        <v>4</v>
      </c>
      <c r="H3" s="324">
        <f t="shared" si="0"/>
        <v>5</v>
      </c>
      <c r="I3" s="324">
        <f t="shared" si="0"/>
        <v>6</v>
      </c>
      <c r="J3" s="324">
        <f t="shared" si="0"/>
        <v>7</v>
      </c>
      <c r="K3" s="324">
        <f t="shared" si="0"/>
        <v>8</v>
      </c>
      <c r="L3" s="324">
        <f t="shared" si="0"/>
        <v>9</v>
      </c>
      <c r="M3" s="324">
        <f t="shared" si="0"/>
        <v>10</v>
      </c>
      <c r="N3" s="324">
        <f t="shared" si="0"/>
        <v>11</v>
      </c>
      <c r="O3" s="324">
        <f t="shared" si="0"/>
        <v>12</v>
      </c>
      <c r="P3" s="324">
        <f t="shared" si="0"/>
        <v>13</v>
      </c>
      <c r="Q3" s="324">
        <f t="shared" si="0"/>
        <v>14</v>
      </c>
      <c r="R3" s="324">
        <f t="shared" si="0"/>
        <v>15</v>
      </c>
      <c r="S3" s="324">
        <f t="shared" si="0"/>
        <v>16</v>
      </c>
      <c r="T3" s="324">
        <f t="shared" si="0"/>
        <v>17</v>
      </c>
      <c r="U3" s="324">
        <f t="shared" si="0"/>
        <v>18</v>
      </c>
      <c r="V3" s="324">
        <f t="shared" si="0"/>
        <v>19</v>
      </c>
      <c r="W3" s="324">
        <f t="shared" si="0"/>
        <v>20</v>
      </c>
      <c r="X3" s="324">
        <f t="shared" si="0"/>
        <v>21</v>
      </c>
      <c r="Y3" s="324">
        <f t="shared" si="0"/>
        <v>22</v>
      </c>
      <c r="Z3" s="324">
        <f t="shared" si="0"/>
        <v>23</v>
      </c>
      <c r="AA3" s="324">
        <f t="shared" si="0"/>
        <v>24</v>
      </c>
      <c r="AB3" s="324">
        <f t="shared" si="0"/>
        <v>25</v>
      </c>
      <c r="AC3" s="324">
        <f t="shared" si="0"/>
        <v>26</v>
      </c>
      <c r="AD3" s="324">
        <f t="shared" si="0"/>
        <v>27</v>
      </c>
      <c r="AE3" s="324">
        <f t="shared" si="0"/>
        <v>28</v>
      </c>
      <c r="AF3" s="324">
        <f t="shared" si="0"/>
        <v>29</v>
      </c>
      <c r="AG3" s="325">
        <f t="shared" si="0"/>
        <v>30</v>
      </c>
      <c r="AH3" s="3"/>
      <c r="AI3" s="3"/>
      <c r="AJ3" s="3"/>
      <c r="AK3" s="3"/>
    </row>
    <row r="4" spans="2:37" ht="15.75">
      <c r="B4" s="63" t="s">
        <v>38</v>
      </c>
      <c r="C4" s="64">
        <v>0</v>
      </c>
      <c r="D4" s="64">
        <v>2</v>
      </c>
      <c r="E4" s="64">
        <v>5</v>
      </c>
      <c r="F4" s="64">
        <v>19</v>
      </c>
      <c r="G4" s="64">
        <v>41</v>
      </c>
      <c r="H4" s="64">
        <v>68</v>
      </c>
      <c r="I4" s="64">
        <v>98</v>
      </c>
      <c r="J4" s="64">
        <v>128</v>
      </c>
      <c r="K4" s="64">
        <v>159</v>
      </c>
      <c r="L4" s="64">
        <v>188</v>
      </c>
      <c r="M4" s="64">
        <v>217</v>
      </c>
      <c r="N4" s="64">
        <v>244</v>
      </c>
      <c r="O4" s="64">
        <v>269</v>
      </c>
      <c r="P4" s="64">
        <v>293</v>
      </c>
      <c r="Q4" s="64">
        <v>316</v>
      </c>
      <c r="R4" s="64">
        <v>333</v>
      </c>
      <c r="S4" s="64">
        <v>356</v>
      </c>
      <c r="T4" s="64">
        <v>374</v>
      </c>
      <c r="U4" s="64">
        <v>391</v>
      </c>
      <c r="V4" s="64">
        <v>407</v>
      </c>
      <c r="W4" s="64">
        <v>422</v>
      </c>
      <c r="X4" s="64">
        <v>436</v>
      </c>
      <c r="Y4" s="64">
        <v>449</v>
      </c>
      <c r="Z4" s="64">
        <v>461</v>
      </c>
      <c r="AA4" s="64">
        <v>472</v>
      </c>
      <c r="AB4" s="64">
        <v>482</v>
      </c>
      <c r="AC4" s="64">
        <v>492</v>
      </c>
      <c r="AD4" s="64">
        <v>502</v>
      </c>
      <c r="AE4" s="64">
        <v>510</v>
      </c>
      <c r="AF4" s="64">
        <v>518</v>
      </c>
      <c r="AG4" s="64">
        <v>526</v>
      </c>
      <c r="AH4" s="3"/>
      <c r="AI4" s="3"/>
      <c r="AJ4" s="3"/>
      <c r="AK4" s="3"/>
    </row>
    <row r="5" spans="2:37" ht="15.75">
      <c r="B5" s="63" t="s">
        <v>39</v>
      </c>
      <c r="C5" s="64">
        <v>0</v>
      </c>
      <c r="D5" s="64">
        <v>0</v>
      </c>
      <c r="E5" s="64">
        <v>1</v>
      </c>
      <c r="F5" s="64">
        <v>5</v>
      </c>
      <c r="G5" s="64">
        <v>16</v>
      </c>
      <c r="H5" s="64">
        <v>32</v>
      </c>
      <c r="I5" s="64">
        <v>52</v>
      </c>
      <c r="J5" s="64">
        <v>75</v>
      </c>
      <c r="K5" s="64">
        <v>98</v>
      </c>
      <c r="L5" s="64">
        <v>122</v>
      </c>
      <c r="M5" s="64">
        <v>146</v>
      </c>
      <c r="N5" s="64">
        <v>169</v>
      </c>
      <c r="O5" s="64">
        <v>191</v>
      </c>
      <c r="P5" s="64">
        <v>213</v>
      </c>
      <c r="Q5" s="64">
        <v>234</v>
      </c>
      <c r="R5" s="64">
        <v>254</v>
      </c>
      <c r="S5" s="64">
        <v>272</v>
      </c>
      <c r="T5" s="64">
        <v>290</v>
      </c>
      <c r="U5" s="64">
        <v>306</v>
      </c>
      <c r="V5" s="64">
        <v>322</v>
      </c>
      <c r="W5" s="64">
        <v>337</v>
      </c>
      <c r="X5" s="64">
        <v>351</v>
      </c>
      <c r="Y5" s="64">
        <v>364</v>
      </c>
      <c r="Z5" s="64">
        <v>377</v>
      </c>
      <c r="AA5" s="64">
        <v>388</v>
      </c>
      <c r="AB5" s="64">
        <v>399</v>
      </c>
      <c r="AC5" s="64">
        <v>410</v>
      </c>
      <c r="AD5" s="64">
        <v>420</v>
      </c>
      <c r="AE5" s="64">
        <v>430</v>
      </c>
      <c r="AF5" s="64">
        <v>439</v>
      </c>
      <c r="AG5" s="64">
        <v>447</v>
      </c>
      <c r="AH5" s="3"/>
      <c r="AI5" s="3"/>
      <c r="AJ5" s="3"/>
      <c r="AK5" s="3"/>
    </row>
    <row r="6" spans="2:37" ht="15.75">
      <c r="B6" s="63" t="s">
        <v>40</v>
      </c>
      <c r="C6" s="64">
        <v>0</v>
      </c>
      <c r="D6" s="64">
        <v>0</v>
      </c>
      <c r="E6" s="64">
        <v>1</v>
      </c>
      <c r="F6" s="64">
        <v>5</v>
      </c>
      <c r="G6" s="64">
        <v>10</v>
      </c>
      <c r="H6" s="64">
        <v>19</v>
      </c>
      <c r="I6" s="64">
        <v>29</v>
      </c>
      <c r="J6" s="64">
        <v>41</v>
      </c>
      <c r="K6" s="64">
        <v>54</v>
      </c>
      <c r="L6" s="64">
        <v>68</v>
      </c>
      <c r="M6" s="64">
        <v>83</v>
      </c>
      <c r="N6" s="64">
        <v>99</v>
      </c>
      <c r="O6" s="64">
        <v>115</v>
      </c>
      <c r="P6" s="64">
        <v>131</v>
      </c>
      <c r="Q6" s="64">
        <v>147</v>
      </c>
      <c r="R6" s="64">
        <v>163</v>
      </c>
      <c r="S6" s="64">
        <v>179</v>
      </c>
      <c r="T6" s="64">
        <v>196</v>
      </c>
      <c r="U6" s="64">
        <v>211</v>
      </c>
      <c r="V6" s="64">
        <v>227</v>
      </c>
      <c r="W6" s="64">
        <v>242</v>
      </c>
      <c r="X6" s="64">
        <v>258</v>
      </c>
      <c r="Y6" s="64">
        <v>273</v>
      </c>
      <c r="Z6" s="64">
        <v>287</v>
      </c>
      <c r="AA6" s="64">
        <v>301</v>
      </c>
      <c r="AB6" s="64">
        <v>316</v>
      </c>
      <c r="AC6" s="64">
        <v>329</v>
      </c>
      <c r="AD6" s="64">
        <v>343</v>
      </c>
      <c r="AE6" s="64">
        <v>356</v>
      </c>
      <c r="AF6" s="64">
        <v>369</v>
      </c>
      <c r="AG6" s="64">
        <v>382</v>
      </c>
      <c r="AH6" s="3"/>
      <c r="AI6" s="3"/>
      <c r="AJ6" s="3"/>
      <c r="AK6" s="3"/>
    </row>
    <row r="7" spans="2:37" ht="15.75">
      <c r="B7" s="63" t="s">
        <v>41</v>
      </c>
      <c r="C7" s="64">
        <v>0</v>
      </c>
      <c r="D7" s="64">
        <v>0</v>
      </c>
      <c r="E7" s="64">
        <v>0</v>
      </c>
      <c r="F7" s="64">
        <v>0</v>
      </c>
      <c r="G7" s="64">
        <v>1</v>
      </c>
      <c r="H7" s="64">
        <v>3</v>
      </c>
      <c r="I7" s="64">
        <v>6</v>
      </c>
      <c r="J7" s="64">
        <v>10</v>
      </c>
      <c r="K7" s="64">
        <v>16</v>
      </c>
      <c r="L7" s="64">
        <v>23</v>
      </c>
      <c r="M7" s="64">
        <v>32</v>
      </c>
      <c r="N7" s="64">
        <v>42</v>
      </c>
      <c r="O7" s="64">
        <v>53</v>
      </c>
      <c r="P7" s="64">
        <v>65</v>
      </c>
      <c r="Q7" s="64">
        <v>78</v>
      </c>
      <c r="R7" s="64">
        <v>91</v>
      </c>
      <c r="S7" s="64">
        <v>104</v>
      </c>
      <c r="T7" s="64">
        <v>118</v>
      </c>
      <c r="U7" s="64">
        <v>132</v>
      </c>
      <c r="V7" s="64">
        <v>146</v>
      </c>
      <c r="W7" s="64">
        <v>159</v>
      </c>
      <c r="X7" s="64">
        <v>173</v>
      </c>
      <c r="Y7" s="64">
        <v>187</v>
      </c>
      <c r="Z7" s="64">
        <v>201</v>
      </c>
      <c r="AA7" s="64">
        <v>214</v>
      </c>
      <c r="AB7" s="64">
        <v>228</v>
      </c>
      <c r="AC7" s="64">
        <v>241</v>
      </c>
      <c r="AD7" s="64">
        <v>254</v>
      </c>
      <c r="AE7" s="64">
        <v>267</v>
      </c>
      <c r="AF7" s="64">
        <v>279</v>
      </c>
      <c r="AG7" s="64">
        <v>291</v>
      </c>
      <c r="AH7" s="3"/>
      <c r="AI7" s="3"/>
      <c r="AJ7" s="3"/>
      <c r="AK7" s="3"/>
    </row>
    <row r="8" spans="2:37" ht="15.75">
      <c r="B8" s="199" t="s">
        <v>42</v>
      </c>
      <c r="C8" s="197">
        <v>0</v>
      </c>
      <c r="D8" s="197">
        <v>0</v>
      </c>
      <c r="E8" s="197">
        <v>0</v>
      </c>
      <c r="F8" s="197">
        <v>0</v>
      </c>
      <c r="G8" s="197">
        <v>1</v>
      </c>
      <c r="H8" s="197">
        <v>2</v>
      </c>
      <c r="I8" s="197">
        <v>4</v>
      </c>
      <c r="J8" s="197">
        <v>7</v>
      </c>
      <c r="K8" s="197">
        <v>11</v>
      </c>
      <c r="L8" s="197">
        <v>16</v>
      </c>
      <c r="M8" s="197">
        <v>21</v>
      </c>
      <c r="N8" s="197">
        <v>28</v>
      </c>
      <c r="O8" s="197">
        <v>35</v>
      </c>
      <c r="P8" s="197">
        <v>43</v>
      </c>
      <c r="Q8" s="197">
        <v>52</v>
      </c>
      <c r="R8" s="197">
        <v>60</v>
      </c>
      <c r="S8" s="197">
        <v>69</v>
      </c>
      <c r="T8" s="197">
        <v>78</v>
      </c>
      <c r="U8" s="197">
        <v>87</v>
      </c>
      <c r="V8" s="197">
        <v>97</v>
      </c>
      <c r="W8" s="197">
        <v>106</v>
      </c>
      <c r="X8" s="197">
        <v>115</v>
      </c>
      <c r="Y8" s="197">
        <v>124</v>
      </c>
      <c r="Z8" s="197">
        <v>133</v>
      </c>
      <c r="AA8" s="197">
        <v>142</v>
      </c>
      <c r="AB8" s="197">
        <v>151</v>
      </c>
      <c r="AC8" s="197">
        <v>160</v>
      </c>
      <c r="AD8" s="197">
        <v>168</v>
      </c>
      <c r="AE8" s="197">
        <v>177</v>
      </c>
      <c r="AF8" s="197">
        <v>185</v>
      </c>
      <c r="AG8" s="197">
        <v>193</v>
      </c>
      <c r="AH8" s="3"/>
      <c r="AI8" s="3"/>
      <c r="AJ8" s="3"/>
      <c r="AK8" s="3"/>
    </row>
    <row r="9" spans="2:37" ht="15.75">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2:37" ht="15.75">
      <c r="B10" s="198"/>
      <c r="C10" s="198" t="s">
        <v>54</v>
      </c>
      <c r="D10" s="198" t="s">
        <v>55</v>
      </c>
      <c r="E10" s="198" t="s">
        <v>56</v>
      </c>
      <c r="F10" s="198" t="s">
        <v>60</v>
      </c>
      <c r="G10" s="198" t="s">
        <v>61</v>
      </c>
      <c r="H10" s="198" t="s">
        <v>55</v>
      </c>
      <c r="I10" s="198" t="s">
        <v>56</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2:37" ht="15.75">
      <c r="B11" s="63"/>
      <c r="C11" s="63" t="s">
        <v>57</v>
      </c>
      <c r="D11" s="339" t="s">
        <v>58</v>
      </c>
      <c r="E11" s="339"/>
      <c r="F11" s="204" t="s">
        <v>59</v>
      </c>
      <c r="G11" s="204"/>
      <c r="H11" s="339" t="s">
        <v>62</v>
      </c>
      <c r="I11" s="339"/>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row>
    <row r="12" spans="1:37" ht="15.75">
      <c r="A12" s="1">
        <v>1</v>
      </c>
      <c r="B12" s="63" t="s">
        <v>370</v>
      </c>
      <c r="C12" s="63">
        <v>600</v>
      </c>
      <c r="D12" s="63">
        <v>15</v>
      </c>
      <c r="E12" s="63">
        <v>30</v>
      </c>
      <c r="F12" s="63">
        <v>0.43</v>
      </c>
      <c r="G12" s="200">
        <v>0.5</v>
      </c>
      <c r="H12" s="201">
        <f>D12*F12*G12*3.7</f>
        <v>11.932500000000001</v>
      </c>
      <c r="I12" s="201">
        <f>E12*F12*G12*3.7</f>
        <v>23.865000000000002</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row>
    <row r="13" spans="1:37" ht="15.75">
      <c r="A13" s="1">
        <f>A12+1</f>
        <v>2</v>
      </c>
      <c r="B13" s="64" t="s">
        <v>44</v>
      </c>
      <c r="C13" s="64">
        <v>600</v>
      </c>
      <c r="D13" s="64">
        <v>15</v>
      </c>
      <c r="E13" s="64">
        <v>30</v>
      </c>
      <c r="F13" s="64">
        <v>0.43</v>
      </c>
      <c r="G13" s="202">
        <v>0.5</v>
      </c>
      <c r="H13" s="203">
        <f>D13*F13*G13*3.7</f>
        <v>11.932500000000001</v>
      </c>
      <c r="I13" s="203">
        <f>E13*F13*G13*3.7</f>
        <v>23.865000000000002</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row>
    <row r="14" spans="1:37" ht="15.75">
      <c r="A14" s="1">
        <f aca="true" t="shared" si="1" ref="A14:A25">A13+1</f>
        <v>3</v>
      </c>
      <c r="B14" s="63" t="s">
        <v>371</v>
      </c>
      <c r="C14" s="63">
        <f aca="true" t="shared" si="2" ref="C14:I14">AVERAGE(C15:C18)</f>
        <v>775</v>
      </c>
      <c r="D14" s="63">
        <f t="shared" si="2"/>
        <v>15</v>
      </c>
      <c r="E14" s="63">
        <f t="shared" si="2"/>
        <v>32.5</v>
      </c>
      <c r="F14" s="63">
        <f t="shared" si="2"/>
        <v>0.63</v>
      </c>
      <c r="G14" s="63">
        <f t="shared" si="2"/>
        <v>0.5</v>
      </c>
      <c r="H14" s="63">
        <f t="shared" si="2"/>
        <v>17.482499999999998</v>
      </c>
      <c r="I14" s="63">
        <f t="shared" si="2"/>
        <v>37.878750000000004</v>
      </c>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row>
    <row r="15" spans="1:37" ht="15.75">
      <c r="A15" s="1">
        <f t="shared" si="1"/>
        <v>4</v>
      </c>
      <c r="B15" s="64" t="s">
        <v>45</v>
      </c>
      <c r="C15" s="64">
        <v>700</v>
      </c>
      <c r="D15" s="64">
        <v>15</v>
      </c>
      <c r="E15" s="64">
        <v>35</v>
      </c>
      <c r="F15" s="64">
        <v>0.63</v>
      </c>
      <c r="G15" s="202">
        <v>0.5</v>
      </c>
      <c r="H15" s="203">
        <f>D15*F15*G15*3.7</f>
        <v>17.482499999999998</v>
      </c>
      <c r="I15" s="203">
        <f>E15*F15*G15*3.7</f>
        <v>40.792500000000004</v>
      </c>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row>
    <row r="16" spans="1:37" ht="15.75">
      <c r="A16" s="1">
        <f t="shared" si="1"/>
        <v>5</v>
      </c>
      <c r="B16" s="64" t="s">
        <v>123</v>
      </c>
      <c r="C16" s="64">
        <v>800</v>
      </c>
      <c r="D16" s="64">
        <v>15</v>
      </c>
      <c r="E16" s="64">
        <v>35</v>
      </c>
      <c r="F16" s="64">
        <v>0.63</v>
      </c>
      <c r="G16" s="202">
        <v>0.5</v>
      </c>
      <c r="H16" s="203">
        <f>D16*F16*G16*3.7</f>
        <v>17.482499999999998</v>
      </c>
      <c r="I16" s="203">
        <f>E16*F16*G16*3.7</f>
        <v>40.792500000000004</v>
      </c>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row>
    <row r="17" spans="1:37" ht="15.75">
      <c r="A17" s="1">
        <f t="shared" si="1"/>
        <v>6</v>
      </c>
      <c r="B17" s="64" t="s">
        <v>46</v>
      </c>
      <c r="C17" s="64">
        <v>800</v>
      </c>
      <c r="D17" s="64">
        <v>15</v>
      </c>
      <c r="E17" s="64">
        <v>30</v>
      </c>
      <c r="F17" s="64">
        <v>0.63</v>
      </c>
      <c r="G17" s="202">
        <v>0.5</v>
      </c>
      <c r="H17" s="203">
        <f>D17*F17*G17*3.7</f>
        <v>17.482499999999998</v>
      </c>
      <c r="I17" s="203">
        <f>E17*F17*G17*3.7</f>
        <v>34.964999999999996</v>
      </c>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row>
    <row r="18" spans="1:37" ht="15.75">
      <c r="A18" s="1">
        <f t="shared" si="1"/>
        <v>7</v>
      </c>
      <c r="B18" s="64" t="s">
        <v>47</v>
      </c>
      <c r="C18" s="64">
        <v>800</v>
      </c>
      <c r="D18" s="64">
        <v>15</v>
      </c>
      <c r="E18" s="64">
        <v>30</v>
      </c>
      <c r="F18" s="64">
        <v>0.63</v>
      </c>
      <c r="G18" s="202">
        <v>0.5</v>
      </c>
      <c r="H18" s="203">
        <f>D18*F18*G18*3.7</f>
        <v>17.482499999999998</v>
      </c>
      <c r="I18" s="203">
        <f>E18*F18*G18*3.7</f>
        <v>34.964999999999996</v>
      </c>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row>
    <row r="19" spans="1:37" ht="15.75">
      <c r="A19" s="1">
        <f t="shared" si="1"/>
        <v>8</v>
      </c>
      <c r="B19" s="64" t="s">
        <v>48</v>
      </c>
      <c r="C19" s="64">
        <v>600</v>
      </c>
      <c r="D19" s="64">
        <v>8</v>
      </c>
      <c r="E19" s="64">
        <v>20</v>
      </c>
      <c r="F19" s="64">
        <v>0.63</v>
      </c>
      <c r="G19" s="202">
        <v>0.5</v>
      </c>
      <c r="H19" s="203">
        <f>D19*F19*G19*3.7</f>
        <v>9.324</v>
      </c>
      <c r="I19" s="203">
        <f>E19*F19*G19*3.7</f>
        <v>23.31</v>
      </c>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row>
    <row r="20" spans="1:37" ht="15.75">
      <c r="A20" s="1">
        <f t="shared" si="1"/>
        <v>9</v>
      </c>
      <c r="B20" s="63" t="s">
        <v>372</v>
      </c>
      <c r="C20" s="63">
        <f aca="true" t="shared" si="3" ref="C20:I20">AVERAGE(C21:C25)</f>
        <v>530</v>
      </c>
      <c r="D20" s="63">
        <f t="shared" si="3"/>
        <v>3</v>
      </c>
      <c r="E20" s="63">
        <f t="shared" si="3"/>
        <v>8.8</v>
      </c>
      <c r="F20" s="63">
        <f t="shared" si="3"/>
        <v>0.63</v>
      </c>
      <c r="G20" s="63">
        <f t="shared" si="3"/>
        <v>0.5</v>
      </c>
      <c r="H20" s="63">
        <f t="shared" si="3"/>
        <v>3.4964999999999997</v>
      </c>
      <c r="I20" s="63">
        <f t="shared" si="3"/>
        <v>10.2564</v>
      </c>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row>
    <row r="21" spans="1:37" ht="15.75">
      <c r="A21" s="1">
        <f t="shared" si="1"/>
        <v>10</v>
      </c>
      <c r="B21" s="64" t="s">
        <v>49</v>
      </c>
      <c r="C21" s="64">
        <v>750</v>
      </c>
      <c r="D21" s="64">
        <v>4</v>
      </c>
      <c r="E21" s="64">
        <v>10</v>
      </c>
      <c r="F21" s="64">
        <v>0.63</v>
      </c>
      <c r="G21" s="202">
        <v>0.5</v>
      </c>
      <c r="H21" s="203">
        <f>D21*F21*G21*3.7</f>
        <v>4.662</v>
      </c>
      <c r="I21" s="203">
        <f>E21*F21*G21*3.7</f>
        <v>11.655</v>
      </c>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row>
    <row r="22" spans="1:37" ht="15.75">
      <c r="A22" s="1">
        <f t="shared" si="1"/>
        <v>11</v>
      </c>
      <c r="B22" s="64" t="s">
        <v>50</v>
      </c>
      <c r="C22" s="64">
        <v>500</v>
      </c>
      <c r="D22" s="64">
        <v>5</v>
      </c>
      <c r="E22" s="64">
        <v>10</v>
      </c>
      <c r="F22" s="64">
        <v>0.63</v>
      </c>
      <c r="G22" s="202">
        <v>0.5</v>
      </c>
      <c r="H22" s="203">
        <f>D22*F22*G22*3.7</f>
        <v>5.8275</v>
      </c>
      <c r="I22" s="203">
        <f>E22*F22*G22*3.7</f>
        <v>11.655</v>
      </c>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row>
    <row r="23" spans="1:37" ht="15.75">
      <c r="A23" s="1">
        <f t="shared" si="1"/>
        <v>12</v>
      </c>
      <c r="B23" s="64" t="s">
        <v>51</v>
      </c>
      <c r="C23" s="64">
        <v>500</v>
      </c>
      <c r="D23" s="64">
        <v>2</v>
      </c>
      <c r="E23" s="64">
        <v>8</v>
      </c>
      <c r="F23" s="64">
        <v>0.63</v>
      </c>
      <c r="G23" s="202">
        <v>0.5</v>
      </c>
      <c r="H23" s="203">
        <f>D23*F23*G23*3.7</f>
        <v>2.331</v>
      </c>
      <c r="I23" s="203">
        <f>E23*F23*G23*3.7</f>
        <v>9.324</v>
      </c>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row>
    <row r="24" spans="1:37" ht="15.75">
      <c r="A24" s="1">
        <f t="shared" si="1"/>
        <v>13</v>
      </c>
      <c r="B24" s="64" t="s">
        <v>52</v>
      </c>
      <c r="C24" s="64">
        <v>400</v>
      </c>
      <c r="D24" s="64">
        <v>2</v>
      </c>
      <c r="E24" s="64">
        <v>8</v>
      </c>
      <c r="F24" s="64">
        <v>0.63</v>
      </c>
      <c r="G24" s="202">
        <v>0.5</v>
      </c>
      <c r="H24" s="203">
        <f>D24*F24*G24*3.7</f>
        <v>2.331</v>
      </c>
      <c r="I24" s="203">
        <f>E24*F24*G24*3.7</f>
        <v>9.324</v>
      </c>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row>
    <row r="25" spans="1:37" ht="15.75">
      <c r="A25" s="1">
        <f t="shared" si="1"/>
        <v>14</v>
      </c>
      <c r="B25" s="64" t="s">
        <v>53</v>
      </c>
      <c r="C25" s="64">
        <v>500</v>
      </c>
      <c r="D25" s="64">
        <v>2</v>
      </c>
      <c r="E25" s="64">
        <v>8</v>
      </c>
      <c r="F25" s="64">
        <v>0.63</v>
      </c>
      <c r="G25" s="202">
        <v>0.5</v>
      </c>
      <c r="H25" s="203">
        <f>D25*F25*G25*3.7</f>
        <v>2.331</v>
      </c>
      <c r="I25" s="203">
        <f>E25*F25*G25*3.7</f>
        <v>9.324</v>
      </c>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row>
    <row r="26" spans="2:37" ht="15.75">
      <c r="B26" s="64"/>
      <c r="C26" s="64"/>
      <c r="D26" s="64"/>
      <c r="E26" s="64"/>
      <c r="F26" s="64"/>
      <c r="G26" s="64"/>
      <c r="H26" s="64"/>
      <c r="I26" s="6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row>
    <row r="27" spans="2:37" ht="15.75">
      <c r="B27" s="64" t="s">
        <v>70</v>
      </c>
      <c r="C27" s="64" t="s">
        <v>62</v>
      </c>
      <c r="D27" s="64"/>
      <c r="E27" s="339" t="s">
        <v>74</v>
      </c>
      <c r="F27" s="339"/>
      <c r="G27" s="64"/>
      <c r="H27" s="64"/>
      <c r="I27" s="6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row>
    <row r="28" spans="1:37" ht="15.75">
      <c r="A28" s="1">
        <v>1</v>
      </c>
      <c r="B28" s="64" t="s">
        <v>71</v>
      </c>
      <c r="C28" s="64" t="b">
        <f>IF('Data summary'!C20=1,Trees!F28)</f>
        <v>0</v>
      </c>
      <c r="D28" s="64"/>
      <c r="E28" s="64">
        <f>VLOOKUP('Data summary'!C19,Trees!A12:I25,8,FALSE)</f>
        <v>17.482499999999998</v>
      </c>
      <c r="F28" s="64">
        <f>VLOOKUP('Data summary'!C19,Trees!A12:I25,9,FALSE)</f>
        <v>40.792500000000004</v>
      </c>
      <c r="G28" s="64"/>
      <c r="H28" s="64"/>
      <c r="I28" s="6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1:37" ht="15.75">
      <c r="A29" s="1">
        <v>2</v>
      </c>
      <c r="B29" s="64" t="s">
        <v>73</v>
      </c>
      <c r="C29" s="64">
        <f>IF('Data summary'!C20=2,AVERAGE(Trees!F28,Trees!E28))</f>
        <v>29.137500000000003</v>
      </c>
      <c r="D29" s="64"/>
      <c r="E29" s="64"/>
      <c r="F29" s="63">
        <f>AVERAGE(C28:C30)</f>
        <v>29.137500000000003</v>
      </c>
      <c r="G29" s="64"/>
      <c r="H29" s="64"/>
      <c r="I29" s="6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row>
    <row r="30" spans="1:37" ht="15.75">
      <c r="A30" s="1">
        <v>3</v>
      </c>
      <c r="B30" s="197" t="s">
        <v>72</v>
      </c>
      <c r="C30" s="197" t="b">
        <f>IF('Data summary'!C20=3,Trees!E28)</f>
        <v>0</v>
      </c>
      <c r="D30" s="197"/>
      <c r="E30" s="197"/>
      <c r="F30" s="197"/>
      <c r="G30" s="197"/>
      <c r="H30" s="197"/>
      <c r="I30" s="197"/>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row>
    <row r="31" spans="2:37" ht="22.5" customHeight="1">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row>
  </sheetData>
  <sheetProtection sheet="1"/>
  <mergeCells count="3">
    <mergeCell ref="E27:F27"/>
    <mergeCell ref="D11:E11"/>
    <mergeCell ref="H11:I11"/>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T72"/>
  <sheetViews>
    <sheetView showGridLines="0" zoomScale="80" zoomScaleNormal="80" zoomScalePageLayoutView="0" workbookViewId="0" topLeftCell="A1">
      <selection activeCell="A1" sqref="A1"/>
    </sheetView>
  </sheetViews>
  <sheetFormatPr defaultColWidth="8.8515625" defaultRowHeight="12.75"/>
  <cols>
    <col min="1" max="1" width="3.421875" style="1" customWidth="1"/>
    <col min="2" max="2" width="40.8515625" style="1" customWidth="1"/>
    <col min="3" max="3" width="17.421875" style="1" bestFit="1" customWidth="1"/>
    <col min="4" max="4" width="7.8515625" style="1" bestFit="1" customWidth="1"/>
    <col min="5" max="5" width="11.00390625" style="1" customWidth="1"/>
    <col min="6" max="6" width="9.7109375" style="1" customWidth="1"/>
    <col min="7" max="8" width="9.7109375" style="1" bestFit="1" customWidth="1"/>
    <col min="9" max="10" width="12.00390625" style="1" customWidth="1"/>
    <col min="11" max="11" width="8.8515625" style="1" customWidth="1"/>
    <col min="12" max="12" width="10.7109375" style="1" customWidth="1"/>
    <col min="13" max="16384" width="8.8515625" style="1" customWidth="1"/>
  </cols>
  <sheetData>
    <row r="1" ht="27" customHeight="1">
      <c r="B1" s="46" t="s">
        <v>19</v>
      </c>
    </row>
    <row r="2" spans="1:20" ht="15.75">
      <c r="A2" s="2"/>
      <c r="J2" s="35"/>
      <c r="K2" s="35"/>
      <c r="L2" s="35"/>
      <c r="M2" s="35"/>
      <c r="N2" s="35"/>
      <c r="O2" s="35"/>
      <c r="P2" s="35"/>
      <c r="Q2" s="35"/>
      <c r="R2" s="35"/>
      <c r="S2" s="35"/>
      <c r="T2" s="35"/>
    </row>
    <row r="3" spans="2:20" ht="15.75">
      <c r="B3" s="225" t="s">
        <v>112</v>
      </c>
      <c r="C3" s="226"/>
      <c r="D3" s="226"/>
      <c r="E3" s="226"/>
      <c r="F3" s="225" t="s">
        <v>111</v>
      </c>
      <c r="G3" s="226"/>
      <c r="H3" s="226"/>
      <c r="J3" s="35"/>
      <c r="K3" s="35"/>
      <c r="L3" s="35"/>
      <c r="M3" s="35"/>
      <c r="N3" s="35"/>
      <c r="O3" s="35"/>
      <c r="P3" s="35"/>
      <c r="Q3" s="35"/>
      <c r="R3" s="35"/>
      <c r="S3" s="35"/>
      <c r="T3" s="35"/>
    </row>
    <row r="4" spans="2:20" ht="15.75">
      <c r="B4" s="227" t="s">
        <v>373</v>
      </c>
      <c r="C4" s="227">
        <f>'Data summary'!$C$15</f>
        <v>30000</v>
      </c>
      <c r="D4" s="227"/>
      <c r="E4" s="227"/>
      <c r="F4" s="227" t="s">
        <v>378</v>
      </c>
      <c r="G4" s="227"/>
      <c r="H4" s="227"/>
      <c r="J4" s="35"/>
      <c r="K4" s="125"/>
      <c r="L4" s="35"/>
      <c r="M4" s="35"/>
      <c r="N4" s="35"/>
      <c r="O4" s="35"/>
      <c r="P4" s="35"/>
      <c r="Q4" s="35"/>
      <c r="R4" s="35"/>
      <c r="S4" s="35"/>
      <c r="T4" s="35"/>
    </row>
    <row r="5" spans="2:20" ht="15.75">
      <c r="B5" s="227" t="s">
        <v>374</v>
      </c>
      <c r="C5" s="227">
        <v>38.6</v>
      </c>
      <c r="D5" s="227"/>
      <c r="E5" s="227"/>
      <c r="F5" s="227" t="s">
        <v>379</v>
      </c>
      <c r="G5" s="227"/>
      <c r="H5" s="227"/>
      <c r="J5" s="35"/>
      <c r="K5" s="125"/>
      <c r="L5" s="35"/>
      <c r="M5" s="35"/>
      <c r="N5" s="35"/>
      <c r="O5" s="35"/>
      <c r="P5" s="35"/>
      <c r="Q5" s="35"/>
      <c r="R5" s="35"/>
      <c r="S5" s="35"/>
      <c r="T5" s="35"/>
    </row>
    <row r="6" spans="2:20" ht="15.75">
      <c r="B6" s="227" t="s">
        <v>375</v>
      </c>
      <c r="C6" s="227">
        <v>99</v>
      </c>
      <c r="D6" s="227"/>
      <c r="E6" s="227"/>
      <c r="F6" s="227" t="s">
        <v>88</v>
      </c>
      <c r="G6" s="227"/>
      <c r="H6" s="227"/>
      <c r="J6" s="35"/>
      <c r="K6" s="37"/>
      <c r="L6" s="35"/>
      <c r="M6" s="35"/>
      <c r="N6" s="35"/>
      <c r="O6" s="35"/>
      <c r="P6" s="35"/>
      <c r="Q6" s="35"/>
      <c r="R6" s="35"/>
      <c r="S6" s="35"/>
      <c r="T6" s="35"/>
    </row>
    <row r="7" spans="2:20" ht="15.75">
      <c r="B7" s="227" t="s">
        <v>376</v>
      </c>
      <c r="C7" s="227">
        <v>69.9</v>
      </c>
      <c r="D7" s="227"/>
      <c r="E7" s="227"/>
      <c r="F7" s="227" t="s">
        <v>380</v>
      </c>
      <c r="G7" s="227"/>
      <c r="H7" s="227"/>
      <c r="J7" s="35"/>
      <c r="K7" s="35"/>
      <c r="L7" s="35"/>
      <c r="M7" s="35"/>
      <c r="N7" s="35"/>
      <c r="O7" s="35"/>
      <c r="P7" s="35"/>
      <c r="Q7" s="35"/>
      <c r="R7" s="35"/>
      <c r="S7" s="35"/>
      <c r="T7" s="35"/>
    </row>
    <row r="8" spans="2:20" ht="18" customHeight="1">
      <c r="B8" s="227" t="s">
        <v>377</v>
      </c>
      <c r="C8" s="227">
        <f>'Data summary'!$C$16</f>
        <v>12000</v>
      </c>
      <c r="D8" s="227"/>
      <c r="E8" s="227"/>
      <c r="F8" s="227" t="s">
        <v>381</v>
      </c>
      <c r="G8" s="227"/>
      <c r="H8" s="227"/>
      <c r="J8" s="35"/>
      <c r="K8" s="35"/>
      <c r="L8" s="35"/>
      <c r="M8" s="109"/>
      <c r="N8" s="109"/>
      <c r="O8" s="109"/>
      <c r="P8" s="109"/>
      <c r="Q8" s="109"/>
      <c r="R8" s="109"/>
      <c r="S8" s="35"/>
      <c r="T8" s="35"/>
    </row>
    <row r="9" spans="2:20" ht="15.75">
      <c r="B9" s="227" t="s">
        <v>431</v>
      </c>
      <c r="C9" s="227">
        <f>VLOOKUP('Data summary'!$C$17,A38:E45,5,FALSE)</f>
        <v>0.001</v>
      </c>
      <c r="D9" s="227"/>
      <c r="E9" s="227"/>
      <c r="F9" s="228" t="s">
        <v>382</v>
      </c>
      <c r="G9" s="227"/>
      <c r="H9" s="227"/>
      <c r="J9" s="35"/>
      <c r="K9" s="40"/>
      <c r="L9" s="35"/>
      <c r="M9" s="109"/>
      <c r="N9" s="109"/>
      <c r="O9" s="109"/>
      <c r="P9" s="109"/>
      <c r="Q9" s="109"/>
      <c r="S9" s="35"/>
      <c r="T9" s="35"/>
    </row>
    <row r="10" spans="2:20" ht="15.75">
      <c r="B10" s="227"/>
      <c r="C10" s="227"/>
      <c r="D10" s="227"/>
      <c r="E10" s="227"/>
      <c r="F10" s="227"/>
      <c r="G10" s="227"/>
      <c r="H10" s="227"/>
      <c r="J10" s="35"/>
      <c r="K10" s="35"/>
      <c r="L10" s="35"/>
      <c r="M10" s="35"/>
      <c r="N10" s="35"/>
      <c r="O10" s="35"/>
      <c r="P10" s="35"/>
      <c r="Q10" s="35"/>
      <c r="R10" s="35"/>
      <c r="S10" s="35"/>
      <c r="T10" s="35"/>
    </row>
    <row r="11" spans="2:20" ht="15.75">
      <c r="B11" s="229" t="s">
        <v>383</v>
      </c>
      <c r="C11" s="229" t="s">
        <v>384</v>
      </c>
      <c r="D11" s="227"/>
      <c r="E11" s="227"/>
      <c r="F11" s="227"/>
      <c r="G11" s="227"/>
      <c r="H11" s="227"/>
      <c r="J11" s="35"/>
      <c r="K11" s="238"/>
      <c r="L11" s="35"/>
      <c r="M11" s="35"/>
      <c r="N11" s="35"/>
      <c r="O11" s="35"/>
      <c r="P11" s="35"/>
      <c r="Q11" s="35"/>
      <c r="R11" s="35"/>
      <c r="S11" s="35"/>
      <c r="T11" s="35"/>
    </row>
    <row r="12" spans="2:20" ht="15.75">
      <c r="B12" s="229"/>
      <c r="C12" s="227" t="s">
        <v>426</v>
      </c>
      <c r="D12" s="227"/>
      <c r="E12" s="227"/>
      <c r="F12" s="227"/>
      <c r="G12" s="227"/>
      <c r="H12" s="227"/>
      <c r="J12" s="35"/>
      <c r="K12" s="238"/>
      <c r="L12" s="35"/>
      <c r="M12" s="35"/>
      <c r="N12" s="35"/>
      <c r="O12" s="35"/>
      <c r="P12" s="35"/>
      <c r="Q12" s="35"/>
      <c r="R12" s="35"/>
      <c r="S12" s="35"/>
      <c r="T12" s="35"/>
    </row>
    <row r="13" spans="2:20" ht="15.75">
      <c r="B13" s="229"/>
      <c r="C13" s="227" t="s">
        <v>427</v>
      </c>
      <c r="D13" s="227"/>
      <c r="E13" s="227"/>
      <c r="F13" s="227"/>
      <c r="G13" s="227"/>
      <c r="H13" s="227"/>
      <c r="J13" s="35"/>
      <c r="K13" s="238"/>
      <c r="L13" s="35"/>
      <c r="M13" s="35"/>
      <c r="N13" s="35"/>
      <c r="O13" s="35"/>
      <c r="P13" s="35"/>
      <c r="Q13" s="35"/>
      <c r="R13" s="35"/>
      <c r="S13" s="35"/>
      <c r="T13" s="35"/>
    </row>
    <row r="14" spans="2:20" ht="15.75">
      <c r="B14" s="229"/>
      <c r="C14" s="227" t="s">
        <v>428</v>
      </c>
      <c r="D14" s="227"/>
      <c r="E14" s="227"/>
      <c r="F14" s="227"/>
      <c r="G14" s="227"/>
      <c r="H14" s="227"/>
      <c r="J14" s="35"/>
      <c r="K14" s="238"/>
      <c r="L14" s="35"/>
      <c r="M14" s="35"/>
      <c r="N14" s="35"/>
      <c r="O14" s="35"/>
      <c r="P14" s="35"/>
      <c r="Q14" s="35"/>
      <c r="R14" s="35"/>
      <c r="S14" s="35"/>
      <c r="T14" s="35"/>
    </row>
    <row r="15" spans="2:20" ht="15.75">
      <c r="B15" s="229"/>
      <c r="C15" s="227" t="s">
        <v>430</v>
      </c>
      <c r="D15" s="227"/>
      <c r="E15" s="227"/>
      <c r="F15" s="227"/>
      <c r="G15" s="227"/>
      <c r="H15" s="227"/>
      <c r="J15" s="35"/>
      <c r="K15" s="238"/>
      <c r="L15" s="35"/>
      <c r="M15" s="35"/>
      <c r="N15" s="35"/>
      <c r="O15" s="35"/>
      <c r="P15" s="35"/>
      <c r="Q15" s="35"/>
      <c r="R15" s="35"/>
      <c r="S15" s="35"/>
      <c r="T15" s="35"/>
    </row>
    <row r="16" spans="2:20" ht="15.75">
      <c r="B16" s="227"/>
      <c r="C16" s="227"/>
      <c r="D16" s="227"/>
      <c r="E16" s="227"/>
      <c r="F16" s="227"/>
      <c r="G16" s="227"/>
      <c r="H16" s="227"/>
      <c r="J16" s="35"/>
      <c r="K16" s="238"/>
      <c r="L16" s="35"/>
      <c r="M16" s="35"/>
      <c r="N16" s="35"/>
      <c r="O16" s="35"/>
      <c r="P16" s="35"/>
      <c r="Q16" s="35"/>
      <c r="R16" s="35"/>
      <c r="S16" s="35"/>
      <c r="T16" s="35"/>
    </row>
    <row r="17" spans="2:20" ht="15.75">
      <c r="B17" s="227"/>
      <c r="C17" s="230">
        <f>$C$4*$C$5*$C$6%*$C$7*10^-6</f>
        <v>80.13475799999999</v>
      </c>
      <c r="D17" s="227"/>
      <c r="E17" s="227"/>
      <c r="F17" s="227" t="s">
        <v>385</v>
      </c>
      <c r="G17" s="227"/>
      <c r="H17" s="227"/>
      <c r="J17" s="35"/>
      <c r="K17" s="35"/>
      <c r="L17" s="239"/>
      <c r="M17" s="239"/>
      <c r="N17" s="239"/>
      <c r="O17" s="239"/>
      <c r="P17" s="239"/>
      <c r="Q17" s="239"/>
      <c r="R17" s="239"/>
      <c r="S17" s="35"/>
      <c r="T17" s="35"/>
    </row>
    <row r="18" spans="2:20" ht="15.75">
      <c r="B18" s="227"/>
      <c r="C18" s="227"/>
      <c r="D18" s="227"/>
      <c r="E18" s="227"/>
      <c r="F18" s="227"/>
      <c r="G18" s="227"/>
      <c r="H18" s="227"/>
      <c r="J18" s="35"/>
      <c r="K18" s="37"/>
      <c r="L18" s="35"/>
      <c r="M18" s="35"/>
      <c r="N18" s="35"/>
      <c r="O18" s="35"/>
      <c r="P18" s="35"/>
      <c r="Q18" s="35"/>
      <c r="R18" s="35"/>
      <c r="S18" s="35"/>
      <c r="T18" s="35"/>
    </row>
    <row r="19" spans="2:20" ht="15.75">
      <c r="B19" s="326" t="s">
        <v>386</v>
      </c>
      <c r="C19" s="226"/>
      <c r="D19" s="226"/>
      <c r="E19" s="226"/>
      <c r="F19" s="226" t="s">
        <v>387</v>
      </c>
      <c r="G19" s="226"/>
      <c r="H19" s="317"/>
      <c r="J19" s="35"/>
      <c r="K19" s="35"/>
      <c r="L19" s="35"/>
      <c r="M19" s="35"/>
      <c r="N19" s="35"/>
      <c r="O19" s="35"/>
      <c r="P19" s="35"/>
      <c r="Q19" s="35"/>
      <c r="R19" s="35"/>
      <c r="S19" s="35"/>
      <c r="T19" s="35"/>
    </row>
    <row r="20" spans="2:20" ht="15.75">
      <c r="B20" s="251"/>
      <c r="C20" s="231" t="s">
        <v>388</v>
      </c>
      <c r="D20" s="231" t="s">
        <v>389</v>
      </c>
      <c r="E20" s="231" t="s">
        <v>17</v>
      </c>
      <c r="F20" s="231" t="s">
        <v>15</v>
      </c>
      <c r="G20" s="231" t="s">
        <v>16</v>
      </c>
      <c r="H20" s="252" t="s">
        <v>390</v>
      </c>
      <c r="J20" s="35"/>
      <c r="K20" s="35"/>
      <c r="L20" s="35"/>
      <c r="M20" s="35"/>
      <c r="N20" s="35"/>
      <c r="O20" s="35"/>
      <c r="P20" s="35"/>
      <c r="Q20" s="35"/>
      <c r="R20" s="35"/>
      <c r="S20" s="35"/>
      <c r="T20" s="35"/>
    </row>
    <row r="21" spans="2:20" ht="15.75">
      <c r="B21" s="253"/>
      <c r="C21" s="254">
        <v>0.01</v>
      </c>
      <c r="D21" s="254">
        <v>0.002</v>
      </c>
      <c r="E21" s="254">
        <v>1.36</v>
      </c>
      <c r="F21" s="254">
        <v>0.541</v>
      </c>
      <c r="G21" s="254">
        <v>0.189</v>
      </c>
      <c r="H21" s="255">
        <v>0.116</v>
      </c>
      <c r="J21" s="35"/>
      <c r="K21" s="40"/>
      <c r="L21" s="35"/>
      <c r="M21" s="35"/>
      <c r="N21" s="35"/>
      <c r="O21" s="35"/>
      <c r="P21" s="35"/>
      <c r="Q21" s="35"/>
      <c r="R21" s="35"/>
      <c r="S21" s="35"/>
      <c r="T21" s="35"/>
    </row>
    <row r="22" spans="2:20" ht="15.75">
      <c r="B22" s="227"/>
      <c r="C22" s="227"/>
      <c r="D22" s="227"/>
      <c r="E22" s="227"/>
      <c r="F22" s="227"/>
      <c r="G22" s="227"/>
      <c r="H22" s="227"/>
      <c r="J22" s="35"/>
      <c r="K22" s="35"/>
      <c r="L22" s="240"/>
      <c r="M22" s="35"/>
      <c r="N22" s="35"/>
      <c r="O22" s="35"/>
      <c r="P22" s="35"/>
      <c r="Q22" s="35"/>
      <c r="R22" s="35"/>
      <c r="S22" s="35"/>
      <c r="T22" s="35"/>
    </row>
    <row r="23" spans="2:20" ht="15.75">
      <c r="B23" s="229" t="s">
        <v>391</v>
      </c>
      <c r="C23" s="227"/>
      <c r="D23" s="227"/>
      <c r="E23" s="227"/>
      <c r="F23" s="227" t="s">
        <v>392</v>
      </c>
      <c r="G23" s="227"/>
      <c r="H23" s="227"/>
      <c r="J23" s="35"/>
      <c r="K23" s="35"/>
      <c r="L23" s="240"/>
      <c r="M23" s="35"/>
      <c r="N23" s="35"/>
      <c r="O23" s="35"/>
      <c r="P23" s="35"/>
      <c r="Q23" s="35"/>
      <c r="R23" s="35"/>
      <c r="S23" s="35"/>
      <c r="T23" s="35"/>
    </row>
    <row r="24" spans="2:20" ht="15.75">
      <c r="B24" s="227"/>
      <c r="C24" s="232">
        <f aca="true" t="shared" si="0" ref="C24:H24">$C$4*$C$5*$C$6%*C21*10^-6</f>
        <v>0.0114642</v>
      </c>
      <c r="D24" s="232">
        <f t="shared" si="0"/>
        <v>0.00229284</v>
      </c>
      <c r="E24" s="232">
        <f t="shared" si="0"/>
        <v>1.5591312000000002</v>
      </c>
      <c r="F24" s="232">
        <f t="shared" si="0"/>
        <v>0.62021322</v>
      </c>
      <c r="G24" s="232">
        <f t="shared" si="0"/>
        <v>0.21667338</v>
      </c>
      <c r="H24" s="232">
        <f t="shared" si="0"/>
        <v>0.13298472</v>
      </c>
      <c r="J24" s="35"/>
      <c r="K24" s="35"/>
      <c r="L24" s="240"/>
      <c r="M24" s="35"/>
      <c r="N24" s="35"/>
      <c r="O24" s="35"/>
      <c r="P24" s="35"/>
      <c r="Q24" s="35"/>
      <c r="R24" s="35"/>
      <c r="S24" s="35"/>
      <c r="T24" s="35"/>
    </row>
    <row r="25" spans="2:20" ht="15.75">
      <c r="B25" s="227"/>
      <c r="C25" s="227"/>
      <c r="D25" s="227"/>
      <c r="E25" s="227"/>
      <c r="F25" s="227"/>
      <c r="G25" s="227"/>
      <c r="H25" s="227"/>
      <c r="J25" s="35"/>
      <c r="K25" s="35"/>
      <c r="L25" s="35"/>
      <c r="M25" s="240"/>
      <c r="N25" s="35"/>
      <c r="O25" s="35"/>
      <c r="P25" s="35"/>
      <c r="Q25" s="35"/>
      <c r="R25" s="35"/>
      <c r="S25" s="35"/>
      <c r="T25" s="35"/>
    </row>
    <row r="26" spans="2:20" ht="15.75">
      <c r="B26" s="229" t="s">
        <v>393</v>
      </c>
      <c r="C26" s="230">
        <f>SUM(C17,C24:H24)</f>
        <v>82.67751755999998</v>
      </c>
      <c r="D26" s="227"/>
      <c r="E26" s="227"/>
      <c r="F26" s="232" t="s">
        <v>392</v>
      </c>
      <c r="G26" s="227"/>
      <c r="H26" s="227"/>
      <c r="J26" s="35"/>
      <c r="K26" s="37"/>
      <c r="L26" s="35"/>
      <c r="M26" s="35"/>
      <c r="N26" s="35"/>
      <c r="O26" s="35"/>
      <c r="P26" s="35"/>
      <c r="Q26" s="35"/>
      <c r="R26" s="35"/>
      <c r="S26" s="35"/>
      <c r="T26" s="35"/>
    </row>
    <row r="27" spans="2:20" ht="18" customHeight="1">
      <c r="B27" s="227"/>
      <c r="C27" s="227"/>
      <c r="D27" s="227"/>
      <c r="E27" s="227"/>
      <c r="F27" s="227"/>
      <c r="G27" s="227"/>
      <c r="H27" s="227"/>
      <c r="J27" s="35"/>
      <c r="K27" s="41"/>
      <c r="L27" s="41"/>
      <c r="M27" s="340"/>
      <c r="N27" s="341"/>
      <c r="O27" s="35"/>
      <c r="P27" s="35"/>
      <c r="Q27" s="35"/>
      <c r="R27" s="35"/>
      <c r="S27" s="35"/>
      <c r="T27" s="35"/>
    </row>
    <row r="28" spans="1:20" ht="18" customHeight="1">
      <c r="A28" s="223"/>
      <c r="B28" s="229" t="s">
        <v>394</v>
      </c>
      <c r="C28" s="233" t="s">
        <v>395</v>
      </c>
      <c r="D28" s="227"/>
      <c r="E28" s="227"/>
      <c r="F28" s="227"/>
      <c r="G28" s="227"/>
      <c r="H28" s="227"/>
      <c r="J28" s="35"/>
      <c r="K28" s="241"/>
      <c r="L28" s="109"/>
      <c r="M28" s="41"/>
      <c r="N28" s="41"/>
      <c r="O28" s="35"/>
      <c r="P28" s="35"/>
      <c r="Q28" s="35"/>
      <c r="R28" s="35"/>
      <c r="S28" s="35"/>
      <c r="T28" s="35"/>
    </row>
    <row r="29" spans="1:20" ht="18" customHeight="1">
      <c r="A29" s="223"/>
      <c r="B29" s="229"/>
      <c r="C29" s="232" t="s">
        <v>429</v>
      </c>
      <c r="D29" s="227"/>
      <c r="E29" s="227"/>
      <c r="F29" s="227"/>
      <c r="G29" s="227"/>
      <c r="H29" s="227"/>
      <c r="J29" s="35"/>
      <c r="K29" s="241"/>
      <c r="L29" s="109"/>
      <c r="M29" s="41"/>
      <c r="N29" s="41"/>
      <c r="O29" s="35"/>
      <c r="P29" s="35"/>
      <c r="Q29" s="35"/>
      <c r="R29" s="35"/>
      <c r="S29" s="35"/>
      <c r="T29" s="35"/>
    </row>
    <row r="30" spans="1:20" ht="18" customHeight="1">
      <c r="A30" s="223"/>
      <c r="B30" s="229"/>
      <c r="C30" s="232" t="s">
        <v>430</v>
      </c>
      <c r="D30" s="227"/>
      <c r="E30" s="227"/>
      <c r="F30" s="227"/>
      <c r="G30" s="227"/>
      <c r="H30" s="227"/>
      <c r="J30" s="35"/>
      <c r="K30" s="241"/>
      <c r="L30" s="109"/>
      <c r="M30" s="41"/>
      <c r="N30" s="41"/>
      <c r="O30" s="35"/>
      <c r="P30" s="35"/>
      <c r="Q30" s="35"/>
      <c r="R30" s="35"/>
      <c r="S30" s="35"/>
      <c r="T30" s="35"/>
    </row>
    <row r="31" spans="1:20" ht="18" customHeight="1">
      <c r="A31" s="223"/>
      <c r="B31" s="229"/>
      <c r="C31" s="232"/>
      <c r="D31" s="227"/>
      <c r="E31" s="227"/>
      <c r="F31" s="227"/>
      <c r="G31" s="227"/>
      <c r="H31" s="227"/>
      <c r="J31" s="35"/>
      <c r="K31" s="241"/>
      <c r="L31" s="109"/>
      <c r="M31" s="41"/>
      <c r="N31" s="41"/>
      <c r="O31" s="35"/>
      <c r="P31" s="35"/>
      <c r="Q31" s="35"/>
      <c r="R31" s="35"/>
      <c r="S31" s="35"/>
      <c r="T31" s="35"/>
    </row>
    <row r="32" spans="2:20" ht="18" customHeight="1">
      <c r="B32" s="227"/>
      <c r="C32" s="230">
        <f>C8*C9</f>
        <v>12</v>
      </c>
      <c r="D32" s="232"/>
      <c r="E32" s="234"/>
      <c r="F32" s="232" t="s">
        <v>392</v>
      </c>
      <c r="G32" s="227"/>
      <c r="H32" s="227"/>
      <c r="I32" s="35"/>
      <c r="J32" s="35"/>
      <c r="L32" s="35"/>
      <c r="M32" s="35"/>
      <c r="N32" s="35"/>
      <c r="O32" s="224"/>
      <c r="P32" s="35"/>
      <c r="Q32" s="35"/>
      <c r="R32" s="35"/>
      <c r="S32" s="35"/>
      <c r="T32" s="35"/>
    </row>
    <row r="33" spans="2:20" ht="16.5" customHeight="1">
      <c r="B33" s="227"/>
      <c r="C33" s="227"/>
      <c r="D33" s="227"/>
      <c r="E33" s="227"/>
      <c r="F33" s="232"/>
      <c r="G33" s="227"/>
      <c r="H33" s="227"/>
      <c r="J33" s="35"/>
      <c r="L33" s="35"/>
      <c r="M33" s="35"/>
      <c r="N33" s="35"/>
      <c r="O33" s="224"/>
      <c r="P33" s="35"/>
      <c r="Q33" s="35"/>
      <c r="R33" s="35"/>
      <c r="S33" s="35"/>
      <c r="T33" s="35"/>
    </row>
    <row r="34" spans="2:20" ht="18" customHeight="1">
      <c r="B34" s="229" t="s">
        <v>396</v>
      </c>
      <c r="C34" s="230">
        <f>C26+C32</f>
        <v>94.67751755999998</v>
      </c>
      <c r="D34" s="227"/>
      <c r="E34" s="227"/>
      <c r="F34" s="232" t="s">
        <v>392</v>
      </c>
      <c r="G34" s="227"/>
      <c r="H34" s="227"/>
      <c r="J34" s="35"/>
      <c r="K34" s="35"/>
      <c r="L34" s="35"/>
      <c r="M34" s="35"/>
      <c r="N34" s="35"/>
      <c r="O34" s="35"/>
      <c r="P34" s="35"/>
      <c r="Q34" s="35"/>
      <c r="R34" s="35"/>
      <c r="S34" s="35"/>
      <c r="T34" s="35"/>
    </row>
    <row r="35" spans="2:20" ht="18.75" customHeight="1">
      <c r="B35" s="227"/>
      <c r="C35" s="227"/>
      <c r="D35" s="227"/>
      <c r="E35" s="227"/>
      <c r="F35" s="227"/>
      <c r="G35" s="227"/>
      <c r="H35" s="227"/>
      <c r="J35" s="35"/>
      <c r="K35" s="35"/>
      <c r="L35" s="35"/>
      <c r="M35" s="35"/>
      <c r="N35" s="35"/>
      <c r="O35" s="109"/>
      <c r="P35" s="35"/>
      <c r="Q35" s="35"/>
      <c r="R35" s="35"/>
      <c r="S35" s="35"/>
      <c r="T35" s="35"/>
    </row>
    <row r="36" spans="2:20" ht="15.75" customHeight="1">
      <c r="B36" s="316" t="s">
        <v>397</v>
      </c>
      <c r="C36" s="226"/>
      <c r="D36" s="226"/>
      <c r="E36" s="317"/>
      <c r="F36" s="227"/>
      <c r="G36" s="227"/>
      <c r="H36" s="227"/>
      <c r="J36" s="35"/>
      <c r="K36" s="35"/>
      <c r="L36" s="35"/>
      <c r="M36" s="35"/>
      <c r="N36" s="35"/>
      <c r="O36" s="35"/>
      <c r="P36" s="35"/>
      <c r="Q36" s="35"/>
      <c r="R36" s="35"/>
      <c r="S36" s="35"/>
      <c r="T36" s="35"/>
    </row>
    <row r="37" spans="2:8" ht="15.75">
      <c r="B37" s="235" t="s">
        <v>398</v>
      </c>
      <c r="C37" s="236" t="s">
        <v>399</v>
      </c>
      <c r="D37" s="236" t="s">
        <v>400</v>
      </c>
      <c r="E37" s="237" t="s">
        <v>401</v>
      </c>
      <c r="F37" s="227"/>
      <c r="G37" s="227"/>
      <c r="H37" s="227"/>
    </row>
    <row r="38" spans="1:15" ht="15.75">
      <c r="A38" s="1">
        <v>1</v>
      </c>
      <c r="B38" s="242" t="s">
        <v>25</v>
      </c>
      <c r="C38" s="243">
        <v>30</v>
      </c>
      <c r="D38" s="243">
        <v>1000</v>
      </c>
      <c r="E38" s="244">
        <f>D38*10^-6</f>
        <v>0.001</v>
      </c>
      <c r="F38" s="227"/>
      <c r="G38" s="227"/>
      <c r="H38" s="227"/>
      <c r="O38" s="109"/>
    </row>
    <row r="39" spans="1:12" ht="15.75">
      <c r="A39" s="1">
        <v>2</v>
      </c>
      <c r="B39" s="242" t="s">
        <v>26</v>
      </c>
      <c r="C39" s="243">
        <v>25</v>
      </c>
      <c r="D39" s="243">
        <v>1400</v>
      </c>
      <c r="E39" s="244">
        <f>D39*10^-6</f>
        <v>0.0014</v>
      </c>
      <c r="F39" s="227"/>
      <c r="G39" s="227"/>
      <c r="H39" s="227"/>
      <c r="L39" s="3"/>
    </row>
    <row r="40" spans="1:12" ht="15.75">
      <c r="A40" s="1">
        <v>3</v>
      </c>
      <c r="B40" s="242" t="s">
        <v>27</v>
      </c>
      <c r="C40" s="243">
        <v>30</v>
      </c>
      <c r="D40" s="243">
        <v>1080</v>
      </c>
      <c r="E40" s="244">
        <f aca="true" t="shared" si="1" ref="E40:E45">D40*10^-6</f>
        <v>0.00108</v>
      </c>
      <c r="F40" s="227"/>
      <c r="G40" s="227"/>
      <c r="H40" s="227"/>
      <c r="L40" s="3"/>
    </row>
    <row r="41" spans="1:12" ht="15.75">
      <c r="A41" s="1">
        <v>4</v>
      </c>
      <c r="B41" s="242" t="s">
        <v>28</v>
      </c>
      <c r="C41" s="245">
        <v>5.9</v>
      </c>
      <c r="D41" s="245">
        <v>510</v>
      </c>
      <c r="E41" s="246">
        <f t="shared" si="1"/>
        <v>0.0005099999999999999</v>
      </c>
      <c r="F41" s="227"/>
      <c r="G41" s="227"/>
      <c r="H41" s="227"/>
      <c r="L41" s="3"/>
    </row>
    <row r="42" spans="1:12" ht="15.75">
      <c r="A42" s="1">
        <v>5</v>
      </c>
      <c r="B42" s="242" t="s">
        <v>76</v>
      </c>
      <c r="C42" s="245">
        <v>37.55</v>
      </c>
      <c r="D42" s="245">
        <v>494</v>
      </c>
      <c r="E42" s="246">
        <f t="shared" si="1"/>
        <v>0.000494</v>
      </c>
      <c r="F42" s="227"/>
      <c r="G42" s="227"/>
      <c r="H42" s="227"/>
      <c r="L42" s="3"/>
    </row>
    <row r="43" spans="1:8" ht="15.75">
      <c r="A43" s="1">
        <v>6</v>
      </c>
      <c r="B43" s="242" t="s">
        <v>29</v>
      </c>
      <c r="C43" s="245">
        <v>37</v>
      </c>
      <c r="D43" s="245">
        <v>681</v>
      </c>
      <c r="E43" s="246">
        <f t="shared" si="1"/>
        <v>0.000681</v>
      </c>
      <c r="F43" s="227"/>
      <c r="G43" s="227"/>
      <c r="H43" s="227"/>
    </row>
    <row r="44" spans="1:8" ht="15.75">
      <c r="A44" s="1">
        <v>7</v>
      </c>
      <c r="B44" s="242" t="s">
        <v>77</v>
      </c>
      <c r="C44" s="245">
        <v>83.8</v>
      </c>
      <c r="D44" s="245">
        <v>314</v>
      </c>
      <c r="E44" s="246">
        <f t="shared" si="1"/>
        <v>0.000314</v>
      </c>
      <c r="F44" s="227"/>
      <c r="G44" s="227"/>
      <c r="H44" s="227"/>
    </row>
    <row r="45" spans="1:8" ht="15.75">
      <c r="A45" s="1">
        <v>8</v>
      </c>
      <c r="B45" s="247" t="s">
        <v>75</v>
      </c>
      <c r="C45" s="248"/>
      <c r="D45" s="249">
        <v>0</v>
      </c>
      <c r="E45" s="250">
        <f t="shared" si="1"/>
        <v>0</v>
      </c>
      <c r="F45" s="227"/>
      <c r="G45" s="227"/>
      <c r="H45" s="227"/>
    </row>
    <row r="72" ht="15.75">
      <c r="G72" s="2"/>
    </row>
  </sheetData>
  <sheetProtection sheet="1"/>
  <mergeCells count="1">
    <mergeCell ref="M27:N27"/>
  </mergeCells>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ILFR, The University of Melbourne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Richard J Eckard</dc:creator>
  <cp:keywords/>
  <dc:description/>
  <cp:lastModifiedBy>Richard Eckard</cp:lastModifiedBy>
  <cp:lastPrinted>2002-03-13T02:03:34Z</cp:lastPrinted>
  <dcterms:created xsi:type="dcterms:W3CDTF">2001-05-18T05:48:59Z</dcterms:created>
  <dcterms:modified xsi:type="dcterms:W3CDTF">2014-03-17T07:23:06Z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