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showInkAnnotation="0" codeName="ThisWorkbook" autoCompressPictures="0"/>
  <mc:AlternateContent xmlns:mc="http://schemas.openxmlformats.org/markup-compatibility/2006">
    <mc:Choice Requires="x15">
      <x15ac:absPath xmlns:x15ac="http://schemas.microsoft.com/office/spreadsheetml/2010/11/ac" url="C:\Users\rjeckard\Documents\My Webs\GIA\excel_files\"/>
    </mc:Choice>
  </mc:AlternateContent>
  <bookViews>
    <workbookView xWindow="0" yWindow="0" windowWidth="35115" windowHeight="19440" tabRatio="786" xr2:uid="{00000000-000D-0000-FFFF-FFFF00000000}"/>
  </bookViews>
  <sheets>
    <sheet name="Data summary" sheetId="2" r:id="rId1"/>
    <sheet name="Data input" sheetId="24234" r:id="rId2"/>
    <sheet name="Enteric fermentation" sheetId="3" r:id="rId3"/>
    <sheet name="Manure management" sheetId="24235" r:id="rId4"/>
    <sheet name="Nitrous Oxide MMS" sheetId="24232" r:id="rId5"/>
    <sheet name="Agricultural soils" sheetId="8" r:id="rId6"/>
    <sheet name="Savannah Burning" sheetId="24238" r:id="rId7"/>
    <sheet name="Liming" sheetId="24239" r:id="rId8"/>
    <sheet name="Urea Application" sheetId="24242" r:id="rId9"/>
    <sheet name="Electicity, Gas &amp; Diesel" sheetId="24237" r:id="rId10"/>
    <sheet name="Transport" sheetId="24241" r:id="rId11"/>
    <sheet name="GWP Factors" sheetId="24240" r:id="rId12"/>
  </sheets>
  <definedNames>
    <definedName name="_Ref412125434" localSheetId="6">'Savannah Burning'!$P$128</definedName>
    <definedName name="_Ref412125439" localSheetId="6">'Savannah Burning'!$P$154</definedName>
    <definedName name="_Toc381287258" localSheetId="6">'Savannah Burning'!#REF!</definedName>
    <definedName name="_xlnm.Print_Area" localSheetId="0">'Data summary'!$B$1:$P$34</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229" i="8" l="1"/>
  <c r="D229" i="8"/>
  <c r="F228" i="8"/>
  <c r="D228" i="8"/>
  <c r="F227" i="8"/>
  <c r="D227" i="8"/>
  <c r="F226" i="8"/>
  <c r="D226" i="8"/>
  <c r="F223" i="8"/>
  <c r="D223" i="8"/>
  <c r="F222" i="8"/>
  <c r="D222" i="8"/>
  <c r="F221" i="8"/>
  <c r="D221" i="8"/>
  <c r="F220" i="8"/>
  <c r="D220" i="8"/>
  <c r="C30" i="8" l="1"/>
  <c r="D6" i="8" s="1"/>
  <c r="D41" i="8" s="1"/>
  <c r="C15" i="24240"/>
  <c r="C76" i="8"/>
  <c r="D9" i="8"/>
  <c r="D44" i="8" s="1"/>
  <c r="F6" i="8"/>
  <c r="F41" i="8"/>
  <c r="F81" i="8" s="1"/>
  <c r="F256" i="8" s="1"/>
  <c r="F9" i="8"/>
  <c r="F44" i="8" s="1"/>
  <c r="C31" i="8"/>
  <c r="D12" i="8" s="1"/>
  <c r="D47" i="8" s="1"/>
  <c r="D18" i="8"/>
  <c r="D59" i="8" s="1"/>
  <c r="E95" i="8"/>
  <c r="D19" i="8"/>
  <c r="D60" i="8" s="1"/>
  <c r="D20" i="8"/>
  <c r="D61" i="8" s="1"/>
  <c r="D100" i="8" s="1"/>
  <c r="F19" i="8"/>
  <c r="F60" i="8" s="1"/>
  <c r="F20" i="8"/>
  <c r="F61" i="8"/>
  <c r="F100" i="8" s="1"/>
  <c r="D47" i="24232"/>
  <c r="D15" i="3"/>
  <c r="O6" i="3" s="1"/>
  <c r="D10" i="3"/>
  <c r="D10" i="24232"/>
  <c r="D17" i="24232"/>
  <c r="D22" i="24232"/>
  <c r="E128" i="8"/>
  <c r="D32" i="24232"/>
  <c r="C35" i="24237"/>
  <c r="L14" i="24237" s="1"/>
  <c r="D37" i="24232"/>
  <c r="E47" i="24232"/>
  <c r="E15" i="3"/>
  <c r="E10" i="3"/>
  <c r="E10" i="24232"/>
  <c r="E17" i="24232"/>
  <c r="E22" i="24232"/>
  <c r="E32" i="24232"/>
  <c r="E37" i="24232"/>
  <c r="F47" i="24232"/>
  <c r="F15" i="3"/>
  <c r="F10" i="3"/>
  <c r="Q6" i="3"/>
  <c r="F5" i="24232" s="1"/>
  <c r="F10" i="24232"/>
  <c r="F17" i="24232"/>
  <c r="F22" i="24232"/>
  <c r="F32" i="24232"/>
  <c r="F37" i="24232"/>
  <c r="G47" i="24232"/>
  <c r="G15" i="3"/>
  <c r="G10" i="3"/>
  <c r="R6" i="3" s="1"/>
  <c r="G10" i="24232"/>
  <c r="G17" i="24232"/>
  <c r="G22" i="24232"/>
  <c r="G32" i="24232"/>
  <c r="G37" i="24232"/>
  <c r="H47" i="24232"/>
  <c r="H15" i="3"/>
  <c r="H10" i="3"/>
  <c r="H25" i="3"/>
  <c r="H10" i="24232"/>
  <c r="H17" i="24232"/>
  <c r="H22" i="24232"/>
  <c r="H27" i="24232"/>
  <c r="H32" i="24232"/>
  <c r="H37" i="24232"/>
  <c r="I47" i="24232"/>
  <c r="I15" i="3"/>
  <c r="I10" i="3"/>
  <c r="T6" i="3"/>
  <c r="T20" i="3" s="1"/>
  <c r="I5" i="24232"/>
  <c r="T12" i="24232" s="1"/>
  <c r="I10" i="24232"/>
  <c r="I17" i="24232"/>
  <c r="I22" i="24232"/>
  <c r="I32" i="24232"/>
  <c r="I37" i="24232"/>
  <c r="J47" i="24232"/>
  <c r="J15" i="3"/>
  <c r="U6" i="3" s="1"/>
  <c r="J5" i="24232" s="1"/>
  <c r="J10" i="3"/>
  <c r="J10" i="24232"/>
  <c r="J17" i="24232"/>
  <c r="J22" i="24232"/>
  <c r="J32" i="24232"/>
  <c r="J37" i="24232"/>
  <c r="D48" i="24232"/>
  <c r="D16" i="3"/>
  <c r="D11" i="3"/>
  <c r="O7" i="3"/>
  <c r="D16" i="24235" s="1"/>
  <c r="D11" i="24232"/>
  <c r="D18" i="24232"/>
  <c r="D23" i="24232"/>
  <c r="D33" i="24232"/>
  <c r="D38" i="24232"/>
  <c r="E48" i="24232"/>
  <c r="E16" i="3"/>
  <c r="E11" i="3"/>
  <c r="E11" i="24232"/>
  <c r="E18" i="24232"/>
  <c r="E23" i="24232"/>
  <c r="E33" i="24232"/>
  <c r="E38" i="24232"/>
  <c r="F48" i="24232"/>
  <c r="F16" i="3"/>
  <c r="F11" i="3"/>
  <c r="Q7" i="3"/>
  <c r="F6" i="24232" s="1"/>
  <c r="F11" i="24232"/>
  <c r="F18" i="24232"/>
  <c r="F23" i="24232" s="1"/>
  <c r="F33" i="24232"/>
  <c r="F38" i="24232"/>
  <c r="G48" i="24232"/>
  <c r="G16" i="3"/>
  <c r="G11" i="3"/>
  <c r="R7" i="3"/>
  <c r="G6" i="24232" s="1"/>
  <c r="G11" i="24232"/>
  <c r="G18" i="24232"/>
  <c r="G23" i="24232"/>
  <c r="G33" i="24232"/>
  <c r="G38" i="24232"/>
  <c r="H48" i="24232"/>
  <c r="H16" i="3"/>
  <c r="H11" i="3"/>
  <c r="H26" i="3"/>
  <c r="H11" i="24232"/>
  <c r="H18" i="24232"/>
  <c r="H23" i="24232"/>
  <c r="H28" i="24232"/>
  <c r="H33" i="24232"/>
  <c r="H38" i="24232"/>
  <c r="I48" i="24232"/>
  <c r="I16" i="3"/>
  <c r="I11" i="3"/>
  <c r="T7" i="3"/>
  <c r="I6" i="24232"/>
  <c r="T13" i="24232" s="1"/>
  <c r="I11" i="24232"/>
  <c r="I18" i="24232"/>
  <c r="I23" i="24232"/>
  <c r="I33" i="24232"/>
  <c r="I38" i="24232"/>
  <c r="J48" i="24232"/>
  <c r="J16" i="3"/>
  <c r="J11" i="3"/>
  <c r="J11" i="24232"/>
  <c r="J18" i="24232"/>
  <c r="J23" i="24232"/>
  <c r="J33" i="24232"/>
  <c r="J38" i="24232"/>
  <c r="D49" i="24232"/>
  <c r="D17" i="3"/>
  <c r="D12" i="3"/>
  <c r="O8" i="3" s="1"/>
  <c r="D12" i="24232"/>
  <c r="D19" i="24232"/>
  <c r="D24" i="24232"/>
  <c r="D34" i="24232"/>
  <c r="D39" i="24232"/>
  <c r="E49" i="24232"/>
  <c r="E17" i="3"/>
  <c r="P8" i="3" s="1"/>
  <c r="E12" i="3"/>
  <c r="E12" i="24232"/>
  <c r="E19" i="24232"/>
  <c r="E24" i="24232"/>
  <c r="E34" i="24232"/>
  <c r="E39" i="24232"/>
  <c r="F49" i="24232"/>
  <c r="F17" i="3"/>
  <c r="F12" i="3"/>
  <c r="Q8" i="3"/>
  <c r="F7" i="24232" s="1"/>
  <c r="F12" i="24232"/>
  <c r="F19" i="24232"/>
  <c r="F24" i="24232"/>
  <c r="F34" i="24232"/>
  <c r="F39" i="24232"/>
  <c r="G49" i="24232"/>
  <c r="G17" i="3"/>
  <c r="G12" i="3"/>
  <c r="R8" i="3"/>
  <c r="R22" i="3" s="1"/>
  <c r="R29" i="3" s="1"/>
  <c r="G7" i="24232"/>
  <c r="R8" i="24232" s="1"/>
  <c r="G12" i="24232"/>
  <c r="G19" i="24232"/>
  <c r="G24" i="24232" s="1"/>
  <c r="G34" i="24232"/>
  <c r="G39" i="24232"/>
  <c r="H49" i="24232"/>
  <c r="H17" i="3"/>
  <c r="H12" i="3"/>
  <c r="H27" i="3"/>
  <c r="H12" i="24232"/>
  <c r="H19" i="24232"/>
  <c r="H24" i="24232"/>
  <c r="H29" i="24232"/>
  <c r="H34" i="24232"/>
  <c r="H39" i="24232"/>
  <c r="I49" i="24232"/>
  <c r="I17" i="3"/>
  <c r="I12" i="3"/>
  <c r="T8" i="3" s="1"/>
  <c r="I12" i="24232"/>
  <c r="I19" i="24232"/>
  <c r="I24" i="24232" s="1"/>
  <c r="I34" i="24232"/>
  <c r="I39" i="24232"/>
  <c r="J49" i="24232"/>
  <c r="J17" i="3"/>
  <c r="J12" i="3"/>
  <c r="J12" i="24232"/>
  <c r="J19" i="24232"/>
  <c r="J24" i="24232" s="1"/>
  <c r="J34" i="24232"/>
  <c r="J39" i="24232"/>
  <c r="D50" i="24232"/>
  <c r="D18" i="3"/>
  <c r="D13" i="3"/>
  <c r="O9" i="3"/>
  <c r="O23" i="3" s="1"/>
  <c r="D13" i="24232"/>
  <c r="D20" i="24232"/>
  <c r="D25" i="24232"/>
  <c r="D35" i="24232"/>
  <c r="D40" i="24232"/>
  <c r="E50" i="24232"/>
  <c r="E18" i="3"/>
  <c r="E13" i="3"/>
  <c r="E13" i="24232"/>
  <c r="E20" i="24232"/>
  <c r="E25" i="24232"/>
  <c r="E35" i="24232"/>
  <c r="E40" i="24232"/>
  <c r="F50" i="24232"/>
  <c r="F18" i="3"/>
  <c r="F13" i="3"/>
  <c r="Q9" i="3"/>
  <c r="F13" i="24232"/>
  <c r="F20" i="24232"/>
  <c r="F25" i="24232" s="1"/>
  <c r="F35" i="24232"/>
  <c r="F40" i="24232"/>
  <c r="G50" i="24232"/>
  <c r="G18" i="3"/>
  <c r="G13" i="3"/>
  <c r="R9" i="3"/>
  <c r="G18" i="24235" s="1"/>
  <c r="G8" i="24232"/>
  <c r="R9" i="24232" s="1"/>
  <c r="G13" i="24232"/>
  <c r="G20" i="24232"/>
  <c r="G25" i="24232" s="1"/>
  <c r="G35" i="24232"/>
  <c r="G40" i="24232"/>
  <c r="H50" i="24232"/>
  <c r="H18" i="3"/>
  <c r="H13" i="3"/>
  <c r="H28" i="3"/>
  <c r="H13" i="24232"/>
  <c r="H20" i="24232"/>
  <c r="H25" i="24232"/>
  <c r="H30" i="24232"/>
  <c r="H35" i="24232"/>
  <c r="H40" i="24232"/>
  <c r="I50" i="24232"/>
  <c r="I18" i="3"/>
  <c r="I13" i="3"/>
  <c r="T9" i="3"/>
  <c r="I8" i="24232"/>
  <c r="T9" i="24232" s="1"/>
  <c r="I13" i="24232"/>
  <c r="I20" i="24232"/>
  <c r="I25" i="24232" s="1"/>
  <c r="I35" i="24232"/>
  <c r="I40" i="24232"/>
  <c r="J50" i="24232"/>
  <c r="J18" i="3"/>
  <c r="J13" i="3"/>
  <c r="J13" i="24232"/>
  <c r="J20" i="24232"/>
  <c r="J25" i="24232" s="1"/>
  <c r="J35" i="24232"/>
  <c r="J40" i="24232"/>
  <c r="E176" i="8"/>
  <c r="H215" i="8"/>
  <c r="H216" i="8"/>
  <c r="H217" i="8"/>
  <c r="E253" i="8"/>
  <c r="H235" i="8"/>
  <c r="E74" i="24238"/>
  <c r="E38" i="24238"/>
  <c r="E39" i="24238"/>
  <c r="E46" i="24238"/>
  <c r="E50" i="24238" s="1"/>
  <c r="R4" i="24238"/>
  <c r="S4" i="24238"/>
  <c r="R5" i="24238"/>
  <c r="S5" i="24238"/>
  <c r="R6" i="24238"/>
  <c r="S6" i="24238"/>
  <c r="R7" i="24238"/>
  <c r="S7" i="24238"/>
  <c r="R8" i="24238"/>
  <c r="S8" i="24238"/>
  <c r="R9" i="24238"/>
  <c r="S9" i="24238"/>
  <c r="R10" i="24238"/>
  <c r="S10" i="24238"/>
  <c r="R11" i="24238"/>
  <c r="S11" i="24238"/>
  <c r="R12" i="24238"/>
  <c r="S12" i="24238"/>
  <c r="R13" i="24238"/>
  <c r="S13" i="24238"/>
  <c r="R14" i="24238"/>
  <c r="S14" i="24238"/>
  <c r="R15" i="24238"/>
  <c r="S15" i="24238"/>
  <c r="R16" i="24238"/>
  <c r="S16" i="24238"/>
  <c r="R17" i="24238"/>
  <c r="S17" i="24238"/>
  <c r="R18" i="24238"/>
  <c r="S18" i="24238"/>
  <c r="R19" i="24238"/>
  <c r="S19" i="24238"/>
  <c r="R20" i="24238"/>
  <c r="S20" i="24238"/>
  <c r="R21" i="24238"/>
  <c r="S21" i="24238"/>
  <c r="R22" i="24238"/>
  <c r="S22" i="24238"/>
  <c r="R23" i="24238"/>
  <c r="S23" i="24238"/>
  <c r="R24" i="24238"/>
  <c r="S24" i="24238"/>
  <c r="R25" i="24238"/>
  <c r="S25" i="24238"/>
  <c r="R26" i="24238"/>
  <c r="S26" i="24238"/>
  <c r="R27" i="24238"/>
  <c r="S27" i="24238"/>
  <c r="R28" i="24238"/>
  <c r="S28" i="24238"/>
  <c r="R29" i="24238"/>
  <c r="S29" i="24238"/>
  <c r="R30" i="24238"/>
  <c r="S30" i="24238"/>
  <c r="R31" i="24238"/>
  <c r="S31" i="24238"/>
  <c r="R32" i="24238"/>
  <c r="S32" i="24238"/>
  <c r="R33" i="24238"/>
  <c r="S33" i="24238"/>
  <c r="R34" i="24238"/>
  <c r="S34" i="24238"/>
  <c r="R35" i="24238"/>
  <c r="S35" i="24238"/>
  <c r="R36" i="24238"/>
  <c r="S36" i="24238"/>
  <c r="R37" i="24238"/>
  <c r="S37" i="24238"/>
  <c r="R38" i="24238"/>
  <c r="S38" i="24238"/>
  <c r="R39" i="24238"/>
  <c r="S39" i="24238"/>
  <c r="R40" i="24238"/>
  <c r="S40" i="24238"/>
  <c r="R41" i="24238"/>
  <c r="S41" i="24238"/>
  <c r="R42" i="24238"/>
  <c r="S42" i="24238"/>
  <c r="R43" i="24238"/>
  <c r="S43" i="24238"/>
  <c r="E49" i="24238"/>
  <c r="E44" i="24238"/>
  <c r="E51" i="24238"/>
  <c r="E41" i="24238"/>
  <c r="E67" i="24238"/>
  <c r="E43" i="24238"/>
  <c r="E68" i="24238"/>
  <c r="E69" i="24238"/>
  <c r="R97" i="24238"/>
  <c r="R98" i="24238"/>
  <c r="S98" i="24238"/>
  <c r="E70" i="24238"/>
  <c r="E40" i="24238"/>
  <c r="E66" i="24238"/>
  <c r="E42" i="24238"/>
  <c r="E71" i="24238"/>
  <c r="E72" i="24238"/>
  <c r="P105" i="24238"/>
  <c r="R105" i="24238"/>
  <c r="S105" i="24238"/>
  <c r="T105" i="24238"/>
  <c r="P106" i="24238"/>
  <c r="R106" i="24238"/>
  <c r="S106" i="24238"/>
  <c r="T106" i="24238"/>
  <c r="P107" i="24238"/>
  <c r="R107" i="24238"/>
  <c r="S107" i="24238"/>
  <c r="T107" i="24238"/>
  <c r="E73" i="24238"/>
  <c r="E83" i="24238"/>
  <c r="P117" i="24238"/>
  <c r="P118" i="24238"/>
  <c r="P119" i="24238"/>
  <c r="E84" i="24238"/>
  <c r="E100" i="24238"/>
  <c r="P143" i="24238"/>
  <c r="P144" i="24238"/>
  <c r="P145" i="24238"/>
  <c r="E101" i="24238"/>
  <c r="P156" i="24238"/>
  <c r="P157" i="24238"/>
  <c r="P158" i="24238"/>
  <c r="E103" i="24238"/>
  <c r="E105" i="24238"/>
  <c r="R47" i="24238"/>
  <c r="S47" i="24238"/>
  <c r="R48" i="24238"/>
  <c r="S48" i="24238"/>
  <c r="R49" i="24238"/>
  <c r="S49" i="24238"/>
  <c r="R50" i="24238"/>
  <c r="S50" i="24238"/>
  <c r="R51" i="24238"/>
  <c r="S51" i="24238"/>
  <c r="R52" i="24238"/>
  <c r="S52" i="24238"/>
  <c r="R53" i="24238"/>
  <c r="S53" i="24238"/>
  <c r="R54" i="24238"/>
  <c r="S54" i="24238"/>
  <c r="R55" i="24238"/>
  <c r="S55" i="24238"/>
  <c r="R56" i="24238"/>
  <c r="S56" i="24238"/>
  <c r="R57" i="24238"/>
  <c r="S57" i="24238"/>
  <c r="R58" i="24238"/>
  <c r="S58" i="24238"/>
  <c r="R59" i="24238"/>
  <c r="S59" i="24238"/>
  <c r="R60" i="24238"/>
  <c r="S60" i="24238"/>
  <c r="R61" i="24238"/>
  <c r="S61" i="24238"/>
  <c r="R62" i="24238"/>
  <c r="S62" i="24238"/>
  <c r="R63" i="24238"/>
  <c r="S63" i="24238"/>
  <c r="R64" i="24238"/>
  <c r="S64" i="24238"/>
  <c r="R65" i="24238"/>
  <c r="S65" i="24238"/>
  <c r="R66" i="24238"/>
  <c r="S66" i="24238"/>
  <c r="R67" i="24238"/>
  <c r="S67" i="24238"/>
  <c r="R68" i="24238"/>
  <c r="S68" i="24238"/>
  <c r="R69" i="24238"/>
  <c r="S69" i="24238"/>
  <c r="R70" i="24238"/>
  <c r="S70" i="24238"/>
  <c r="R71" i="24238"/>
  <c r="S71" i="24238"/>
  <c r="R72" i="24238"/>
  <c r="S72" i="24238"/>
  <c r="R73" i="24238"/>
  <c r="S73" i="24238"/>
  <c r="R74" i="24238"/>
  <c r="S74" i="24238"/>
  <c r="R75" i="24238"/>
  <c r="S75" i="24238"/>
  <c r="R76" i="24238"/>
  <c r="S76" i="24238"/>
  <c r="R77" i="24238"/>
  <c r="S77" i="24238"/>
  <c r="R78" i="24238"/>
  <c r="S78" i="24238"/>
  <c r="R79" i="24238"/>
  <c r="S79" i="24238"/>
  <c r="R80" i="24238"/>
  <c r="S80" i="24238"/>
  <c r="R81" i="24238"/>
  <c r="S81" i="24238"/>
  <c r="R82" i="24238"/>
  <c r="S82" i="24238"/>
  <c r="R83" i="24238"/>
  <c r="S83" i="24238"/>
  <c r="R84" i="24238"/>
  <c r="S84" i="24238"/>
  <c r="R85" i="24238"/>
  <c r="S85" i="24238"/>
  <c r="R86" i="24238"/>
  <c r="S86" i="24238"/>
  <c r="E60" i="24238"/>
  <c r="E58" i="24238"/>
  <c r="E57" i="24238"/>
  <c r="E85" i="24238"/>
  <c r="E102" i="24238"/>
  <c r="E104" i="24238"/>
  <c r="C76" i="24237"/>
  <c r="C88" i="24237" s="1"/>
  <c r="C91" i="24237" s="1"/>
  <c r="M18" i="2" s="1"/>
  <c r="C77" i="24237"/>
  <c r="C60" i="24237"/>
  <c r="C72" i="24237" s="1"/>
  <c r="C61" i="24237"/>
  <c r="C10" i="24241"/>
  <c r="C15" i="24241"/>
  <c r="D15" i="24241"/>
  <c r="C5" i="24241"/>
  <c r="D17" i="24241" s="1"/>
  <c r="P130" i="24238"/>
  <c r="P131" i="24238"/>
  <c r="P132" i="24238"/>
  <c r="E86" i="24238"/>
  <c r="C14" i="24240"/>
  <c r="E88" i="24238"/>
  <c r="E87" i="24238"/>
  <c r="D5" i="24235"/>
  <c r="D10" i="24235"/>
  <c r="C23" i="24235"/>
  <c r="C27" i="24235" s="1"/>
  <c r="E5" i="24235"/>
  <c r="E10" i="24235"/>
  <c r="F5" i="24235"/>
  <c r="F10" i="24235"/>
  <c r="G5" i="24235"/>
  <c r="G10" i="24235"/>
  <c r="H5" i="24235"/>
  <c r="H10" i="24235"/>
  <c r="I5" i="24235"/>
  <c r="I15" i="24235"/>
  <c r="I10" i="24235"/>
  <c r="J5" i="24235"/>
  <c r="J10" i="24235"/>
  <c r="D6" i="24235"/>
  <c r="D11" i="24235"/>
  <c r="E6" i="24235"/>
  <c r="E11" i="24235"/>
  <c r="F6" i="24235"/>
  <c r="F11" i="24235"/>
  <c r="G6" i="24235"/>
  <c r="G11" i="24235"/>
  <c r="H6" i="24235"/>
  <c r="H11" i="24235"/>
  <c r="I6" i="24235"/>
  <c r="I16" i="24235"/>
  <c r="I11" i="24235"/>
  <c r="J6" i="24235"/>
  <c r="J11" i="24235"/>
  <c r="D7" i="24235"/>
  <c r="D12" i="24235"/>
  <c r="E7" i="24235"/>
  <c r="E12" i="24235"/>
  <c r="F7" i="24235"/>
  <c r="F12" i="24235"/>
  <c r="G7" i="24235"/>
  <c r="G17" i="24235"/>
  <c r="G12" i="24235"/>
  <c r="H7" i="24235"/>
  <c r="H12" i="24235"/>
  <c r="I7" i="24235"/>
  <c r="I12" i="24235"/>
  <c r="J7" i="24235"/>
  <c r="J12" i="24235"/>
  <c r="D8" i="24235"/>
  <c r="D13" i="24235"/>
  <c r="E8" i="24235"/>
  <c r="E13" i="24235"/>
  <c r="F8" i="24235"/>
  <c r="F13" i="24235"/>
  <c r="G8" i="24235"/>
  <c r="G13" i="24235"/>
  <c r="H8" i="24235"/>
  <c r="H13" i="24235"/>
  <c r="I8" i="24235"/>
  <c r="I18" i="24235"/>
  <c r="I13" i="24235"/>
  <c r="J8" i="24235"/>
  <c r="J13" i="24235"/>
  <c r="D5" i="3"/>
  <c r="E5" i="3"/>
  <c r="F5" i="3"/>
  <c r="G5" i="3"/>
  <c r="H5" i="3"/>
  <c r="I5" i="3"/>
  <c r="J5" i="3"/>
  <c r="U20" i="3"/>
  <c r="U27" i="3" s="1"/>
  <c r="D6" i="3"/>
  <c r="E6" i="3"/>
  <c r="F6" i="3"/>
  <c r="Q21" i="3"/>
  <c r="G6" i="3"/>
  <c r="H6" i="3"/>
  <c r="I6" i="3"/>
  <c r="T21" i="3"/>
  <c r="T28" i="3" s="1"/>
  <c r="J6" i="3"/>
  <c r="D7" i="3"/>
  <c r="E7" i="3"/>
  <c r="F7" i="3"/>
  <c r="Q22" i="3"/>
  <c r="Q29" i="3" s="1"/>
  <c r="G7" i="3"/>
  <c r="H7" i="3"/>
  <c r="I7" i="3"/>
  <c r="J7" i="3"/>
  <c r="D8" i="3"/>
  <c r="E8" i="3"/>
  <c r="F8" i="3"/>
  <c r="G8" i="3"/>
  <c r="H8" i="3"/>
  <c r="I8" i="3"/>
  <c r="T23" i="3"/>
  <c r="J8" i="3"/>
  <c r="C71" i="24237"/>
  <c r="C5" i="24242"/>
  <c r="C6" i="24242"/>
  <c r="C7" i="24242"/>
  <c r="C8" i="24242"/>
  <c r="C13" i="24240"/>
  <c r="D17" i="24242"/>
  <c r="D5" i="24242"/>
  <c r="D6" i="24242"/>
  <c r="D7" i="24242"/>
  <c r="D8" i="24242"/>
  <c r="D10" i="24242"/>
  <c r="D18" i="24242"/>
  <c r="F4" i="24239"/>
  <c r="F5" i="24239"/>
  <c r="F14" i="24239" s="1"/>
  <c r="F15" i="24239" s="1"/>
  <c r="M6" i="2" s="1"/>
  <c r="C18" i="24240"/>
  <c r="F10" i="24239"/>
  <c r="D35" i="24237"/>
  <c r="D41" i="24237" s="1"/>
  <c r="C33" i="24237"/>
  <c r="C36" i="24237"/>
  <c r="C37" i="24237"/>
  <c r="D42" i="24237"/>
  <c r="N30" i="24237"/>
  <c r="AC32" i="24237"/>
  <c r="AC30" i="24237"/>
  <c r="AC31" i="24237"/>
  <c r="AC33" i="24237"/>
  <c r="AC27" i="24237"/>
  <c r="AC34" i="24237"/>
  <c r="AC35" i="24237"/>
  <c r="N44" i="24237"/>
  <c r="D43" i="24237"/>
  <c r="O30" i="24237"/>
  <c r="O44" i="24237"/>
  <c r="C45" i="24237"/>
  <c r="P44" i="24237"/>
  <c r="D45" i="24237"/>
  <c r="C19" i="24237"/>
  <c r="C29" i="24237" s="1"/>
  <c r="C5" i="24237"/>
  <c r="C15" i="24237"/>
  <c r="C19" i="2"/>
  <c r="H21" i="3"/>
  <c r="H22" i="3"/>
  <c r="H23" i="3"/>
  <c r="H20" i="3"/>
  <c r="I104" i="24234"/>
  <c r="F38" i="24238"/>
  <c r="D3" i="24242"/>
  <c r="C3" i="24242"/>
  <c r="F49" i="24234"/>
  <c r="F63" i="24234"/>
  <c r="D15" i="2"/>
  <c r="D49" i="24234"/>
  <c r="D63" i="24234"/>
  <c r="F56" i="24234"/>
  <c r="F70" i="24234"/>
  <c r="D14" i="2"/>
  <c r="D56" i="24234"/>
  <c r="D70" i="24234"/>
  <c r="C14" i="2"/>
  <c r="D13" i="2"/>
  <c r="D12" i="2"/>
  <c r="C13" i="2"/>
  <c r="C12" i="2"/>
  <c r="C17" i="2"/>
  <c r="N29" i="24237"/>
  <c r="N43" i="24237"/>
  <c r="O29" i="24237"/>
  <c r="O43" i="24237"/>
  <c r="P43" i="24237"/>
  <c r="S97" i="24238"/>
  <c r="E52" i="24232"/>
  <c r="D36" i="24237"/>
  <c r="C20" i="2"/>
  <c r="M45" i="24237"/>
  <c r="N45" i="24237"/>
  <c r="O45" i="24237"/>
  <c r="P45" i="24237"/>
  <c r="L45" i="24237"/>
  <c r="M31" i="24237"/>
  <c r="N31" i="24237"/>
  <c r="O31" i="24237"/>
  <c r="P31" i="24237"/>
  <c r="L31" i="24237"/>
  <c r="H30" i="3"/>
  <c r="E20" i="24242"/>
  <c r="L23" i="24237"/>
  <c r="L22" i="24237"/>
  <c r="W30" i="24237"/>
  <c r="W31" i="24237"/>
  <c r="W32" i="24237"/>
  <c r="W33" i="24237"/>
  <c r="W27" i="24237"/>
  <c r="W34" i="24237"/>
  <c r="W35" i="24237"/>
  <c r="L37" i="24237"/>
  <c r="L36" i="24237"/>
  <c r="M22" i="24237"/>
  <c r="M27" i="24237"/>
  <c r="M36" i="24237"/>
  <c r="AA31" i="24237"/>
  <c r="AA30" i="24237"/>
  <c r="AA32" i="24237"/>
  <c r="AA33" i="24237"/>
  <c r="AA27" i="24237"/>
  <c r="AA34" i="24237"/>
  <c r="AA35" i="24237"/>
  <c r="M41" i="24237"/>
  <c r="N23" i="24237"/>
  <c r="N22" i="24237"/>
  <c r="N27" i="24237"/>
  <c r="N37" i="24237"/>
  <c r="N36" i="24237"/>
  <c r="N41" i="24237"/>
  <c r="O23" i="24237"/>
  <c r="O22" i="24237"/>
  <c r="O37" i="24237"/>
  <c r="O36" i="24237"/>
  <c r="P22" i="24237"/>
  <c r="P37" i="24237"/>
  <c r="P36" i="24237"/>
  <c r="P41" i="24237"/>
  <c r="AB27" i="24237"/>
  <c r="AB34" i="24237"/>
  <c r="AB30" i="24237"/>
  <c r="AB31" i="24237"/>
  <c r="AB32" i="24237"/>
  <c r="AB33" i="24237"/>
  <c r="AB35" i="24237"/>
  <c r="P42" i="24237"/>
  <c r="O42" i="24237"/>
  <c r="N42" i="24237"/>
  <c r="L42" i="24237"/>
  <c r="Z27" i="24237"/>
  <c r="Z34" i="24237"/>
  <c r="Z30" i="24237"/>
  <c r="Z31" i="24237"/>
  <c r="Z32" i="24237"/>
  <c r="Z33" i="24237"/>
  <c r="Z35" i="24237"/>
  <c r="P40" i="24237"/>
  <c r="O40" i="24237"/>
  <c r="N40" i="24237"/>
  <c r="M40" i="24237"/>
  <c r="Y27" i="24237"/>
  <c r="Y34" i="24237"/>
  <c r="Y30" i="24237"/>
  <c r="Y31" i="24237"/>
  <c r="Y32" i="24237"/>
  <c r="Y33" i="24237"/>
  <c r="Y35" i="24237"/>
  <c r="P39" i="24237"/>
  <c r="O39" i="24237"/>
  <c r="N39" i="24237"/>
  <c r="L39" i="24237"/>
  <c r="X27" i="24237"/>
  <c r="X34" i="24237"/>
  <c r="X30" i="24237"/>
  <c r="X31" i="24237"/>
  <c r="X32" i="24237"/>
  <c r="X33" i="24237"/>
  <c r="X35" i="24237"/>
  <c r="P38" i="24237"/>
  <c r="N38" i="24237"/>
  <c r="AD5" i="24237"/>
  <c r="AD30" i="24237"/>
  <c r="AD6" i="24237"/>
  <c r="AD31" i="24237"/>
  <c r="AD7" i="24237"/>
  <c r="AD10" i="24237"/>
  <c r="AD11" i="24237"/>
  <c r="AD14" i="24237"/>
  <c r="AD15" i="24237"/>
  <c r="AD32" i="24237"/>
  <c r="AD12" i="24237"/>
  <c r="AD33" i="24237"/>
  <c r="AD20" i="24237"/>
  <c r="AD21" i="24237"/>
  <c r="AD22" i="24237"/>
  <c r="AD23" i="24237"/>
  <c r="AD24" i="24237"/>
  <c r="AD25" i="24237"/>
  <c r="AD26" i="24237"/>
  <c r="AD27" i="24237"/>
  <c r="AD34" i="24237"/>
  <c r="AD35" i="24237"/>
  <c r="C34" i="24237"/>
  <c r="O28" i="24237"/>
  <c r="N28" i="24237"/>
  <c r="L28" i="24237"/>
  <c r="O26" i="24237"/>
  <c r="N26" i="24237"/>
  <c r="M26" i="24237"/>
  <c r="O25" i="24237"/>
  <c r="N25" i="24237"/>
  <c r="L25" i="24237"/>
  <c r="N24" i="24237"/>
  <c r="AD8" i="24237"/>
  <c r="AD9" i="24237"/>
  <c r="AD13" i="24237"/>
  <c r="AD16" i="24237"/>
  <c r="AC16" i="24237"/>
  <c r="AB16" i="24237"/>
  <c r="AA16" i="24237"/>
  <c r="Z16" i="24237"/>
  <c r="Y16" i="24237"/>
  <c r="X16" i="24237"/>
  <c r="W16" i="24237"/>
  <c r="C16" i="2"/>
  <c r="C18" i="2"/>
  <c r="E130" i="8"/>
  <c r="F130" i="8"/>
  <c r="G130" i="8"/>
  <c r="H130" i="8"/>
  <c r="I130" i="8"/>
  <c r="J130" i="8"/>
  <c r="K130" i="8"/>
  <c r="D130" i="8"/>
  <c r="K115" i="8"/>
  <c r="K116" i="8"/>
  <c r="K117" i="8"/>
  <c r="K118" i="8"/>
  <c r="K121" i="8"/>
  <c r="K122" i="8"/>
  <c r="K123" i="8"/>
  <c r="K124" i="8"/>
  <c r="E120" i="8"/>
  <c r="F120" i="8"/>
  <c r="G120" i="8"/>
  <c r="H120" i="8"/>
  <c r="I120" i="8"/>
  <c r="J120" i="8"/>
  <c r="K120" i="8"/>
  <c r="D120" i="8"/>
  <c r="K114" i="8"/>
  <c r="E114" i="8"/>
  <c r="F114" i="8"/>
  <c r="G114" i="8"/>
  <c r="H114" i="8"/>
  <c r="I114" i="8"/>
  <c r="J114" i="8"/>
  <c r="D114" i="8"/>
  <c r="C19" i="24240"/>
  <c r="C17" i="24240"/>
  <c r="C16" i="24240"/>
  <c r="P108" i="24238"/>
  <c r="R108" i="24238"/>
  <c r="S108" i="24238"/>
  <c r="T108" i="24238"/>
  <c r="P109" i="24238"/>
  <c r="R109" i="24238"/>
  <c r="S109" i="24238"/>
  <c r="T109" i="24238"/>
  <c r="P110" i="24238"/>
  <c r="R110" i="24238"/>
  <c r="S110" i="24238"/>
  <c r="T110" i="24238"/>
  <c r="P111" i="24238"/>
  <c r="R111" i="24238"/>
  <c r="S111" i="24238"/>
  <c r="T111" i="24238"/>
  <c r="P112" i="24238"/>
  <c r="R112" i="24238"/>
  <c r="S112" i="24238"/>
  <c r="T112" i="24238"/>
  <c r="P120" i="24238"/>
  <c r="P121" i="24238"/>
  <c r="P122" i="24238"/>
  <c r="P123" i="24238"/>
  <c r="P124" i="24238"/>
  <c r="P125" i="24238"/>
  <c r="P126" i="24238"/>
  <c r="P146" i="24238"/>
  <c r="P147" i="24238"/>
  <c r="P148" i="24238"/>
  <c r="P149" i="24238"/>
  <c r="P150" i="24238"/>
  <c r="P151" i="24238"/>
  <c r="P152" i="24238"/>
  <c r="P159" i="24238"/>
  <c r="F39" i="24238"/>
  <c r="F100" i="24238"/>
  <c r="F83" i="24238"/>
  <c r="F40" i="24238"/>
  <c r="F66" i="24238"/>
  <c r="F41" i="24238"/>
  <c r="F67" i="24238"/>
  <c r="F42" i="24238"/>
  <c r="F71" i="24238"/>
  <c r="F72" i="24238"/>
  <c r="F43" i="24238"/>
  <c r="F68" i="24238"/>
  <c r="F69" i="24238"/>
  <c r="P133" i="24238"/>
  <c r="P160" i="24238"/>
  <c r="P161" i="24238"/>
  <c r="P162" i="24238"/>
  <c r="P163" i="24238"/>
  <c r="P164" i="24238"/>
  <c r="P165" i="24238"/>
  <c r="E47" i="24238"/>
  <c r="P134" i="24238"/>
  <c r="P135" i="24238"/>
  <c r="P136" i="24238"/>
  <c r="P137" i="24238"/>
  <c r="P138" i="24238"/>
  <c r="P139" i="24238"/>
  <c r="R100" i="24238"/>
  <c r="R99" i="24238"/>
  <c r="S100" i="24238"/>
  <c r="S99" i="24238"/>
  <c r="B16" i="24238"/>
  <c r="C16" i="24238"/>
  <c r="B17" i="24238"/>
  <c r="C17" i="24238"/>
  <c r="B18" i="24238"/>
  <c r="C18" i="24238"/>
  <c r="B19" i="24238"/>
  <c r="C19" i="24238"/>
  <c r="B20" i="24238"/>
  <c r="C20" i="24238"/>
  <c r="K32" i="24232"/>
  <c r="P3" i="24232"/>
  <c r="Q3" i="24232"/>
  <c r="R3" i="24232"/>
  <c r="S3" i="24232"/>
  <c r="T3" i="24232"/>
  <c r="U3" i="24232"/>
  <c r="V3" i="24232"/>
  <c r="O3" i="24232"/>
  <c r="E3" i="24232"/>
  <c r="F3" i="24232"/>
  <c r="G3" i="24232"/>
  <c r="H3" i="24232"/>
  <c r="I3" i="24232"/>
  <c r="J3" i="24232"/>
  <c r="K3" i="24232"/>
  <c r="D3" i="24232"/>
  <c r="E3" i="24235"/>
  <c r="F3" i="24235"/>
  <c r="G3" i="24235"/>
  <c r="H3" i="24235"/>
  <c r="I3" i="24235"/>
  <c r="J3" i="24235"/>
  <c r="K3" i="24235"/>
  <c r="D3" i="24235"/>
  <c r="P3" i="3"/>
  <c r="Q3" i="3"/>
  <c r="R3" i="3"/>
  <c r="S3" i="3"/>
  <c r="T3" i="3"/>
  <c r="U3" i="3"/>
  <c r="V3" i="3"/>
  <c r="O3" i="3"/>
  <c r="E3" i="3"/>
  <c r="F3" i="3"/>
  <c r="G3" i="3"/>
  <c r="H3" i="3"/>
  <c r="I3" i="3"/>
  <c r="J3" i="3"/>
  <c r="K3" i="3"/>
  <c r="K3" i="8"/>
  <c r="D3" i="3"/>
  <c r="D5" i="2"/>
  <c r="E5" i="2"/>
  <c r="F5" i="2"/>
  <c r="G5" i="2"/>
  <c r="H5" i="2"/>
  <c r="I5" i="2"/>
  <c r="J5" i="2"/>
  <c r="C5" i="2"/>
  <c r="J10" i="2"/>
  <c r="J9" i="2"/>
  <c r="J8" i="2"/>
  <c r="J7" i="2"/>
  <c r="J6" i="2"/>
  <c r="C3" i="2"/>
  <c r="K47" i="24232"/>
  <c r="K48" i="24232"/>
  <c r="K49" i="24232"/>
  <c r="K50" i="24232"/>
  <c r="K38" i="24232"/>
  <c r="K39" i="24232"/>
  <c r="K40" i="24232"/>
  <c r="K37" i="24232"/>
  <c r="K33" i="24232"/>
  <c r="K34" i="24232"/>
  <c r="K35" i="24232"/>
  <c r="K18" i="24232"/>
  <c r="K19" i="24232"/>
  <c r="K20" i="24232"/>
  <c r="K17" i="24232"/>
  <c r="K11" i="24232"/>
  <c r="K12" i="24232"/>
  <c r="K13" i="24232"/>
  <c r="K10" i="24232"/>
  <c r="K5" i="24235"/>
  <c r="K6" i="24235"/>
  <c r="K7" i="24235"/>
  <c r="K8" i="24235"/>
  <c r="K11" i="24235"/>
  <c r="K12" i="24235"/>
  <c r="K13" i="24235"/>
  <c r="K10" i="24235"/>
  <c r="D21" i="3"/>
  <c r="E21" i="3"/>
  <c r="F21" i="3"/>
  <c r="G21" i="3"/>
  <c r="I21" i="3"/>
  <c r="J21" i="3"/>
  <c r="K21" i="3"/>
  <c r="D22" i="3"/>
  <c r="E22" i="3"/>
  <c r="F22" i="3"/>
  <c r="G22" i="3"/>
  <c r="I22" i="3"/>
  <c r="J22" i="3"/>
  <c r="K22" i="3"/>
  <c r="D23" i="3"/>
  <c r="E23" i="3"/>
  <c r="F23" i="3"/>
  <c r="G23" i="3"/>
  <c r="I23" i="3"/>
  <c r="J23" i="3"/>
  <c r="K23" i="3"/>
  <c r="E20" i="3"/>
  <c r="F20" i="3"/>
  <c r="G20" i="3"/>
  <c r="I20" i="3"/>
  <c r="J20" i="3"/>
  <c r="K20" i="3"/>
  <c r="D20" i="3"/>
  <c r="K16" i="3"/>
  <c r="K17" i="3"/>
  <c r="K18" i="3"/>
  <c r="K15" i="3"/>
  <c r="K11" i="3"/>
  <c r="K12" i="3"/>
  <c r="K13" i="3"/>
  <c r="K10" i="3"/>
  <c r="K6" i="3"/>
  <c r="K7" i="3"/>
  <c r="K8" i="3"/>
  <c r="K5" i="3"/>
  <c r="D20" i="24234"/>
  <c r="C7" i="2"/>
  <c r="E20" i="24234"/>
  <c r="D7" i="2"/>
  <c r="F20" i="24234"/>
  <c r="E7" i="2"/>
  <c r="G20" i="24234"/>
  <c r="F7" i="2"/>
  <c r="H20" i="24234"/>
  <c r="G7" i="2"/>
  <c r="I20" i="24234"/>
  <c r="H7" i="2"/>
  <c r="J20" i="24234"/>
  <c r="I7" i="2"/>
  <c r="D26" i="24234"/>
  <c r="C8" i="2"/>
  <c r="E26" i="24234"/>
  <c r="D8" i="2" s="1"/>
  <c r="F26" i="24234"/>
  <c r="E8" i="2"/>
  <c r="G26" i="24234"/>
  <c r="F8" i="2" s="1"/>
  <c r="H26" i="24234"/>
  <c r="G8" i="2"/>
  <c r="I26" i="24234"/>
  <c r="H8" i="2" s="1"/>
  <c r="J26" i="24234"/>
  <c r="I8" i="2"/>
  <c r="D32" i="24234"/>
  <c r="C9" i="2" s="1"/>
  <c r="E32" i="24234"/>
  <c r="D9" i="2" s="1"/>
  <c r="F32" i="24234"/>
  <c r="E9" i="2" s="1"/>
  <c r="G32" i="24234"/>
  <c r="F9" i="2" s="1"/>
  <c r="H32" i="24234"/>
  <c r="G9" i="2" s="1"/>
  <c r="I32" i="24234"/>
  <c r="H9" i="2" s="1"/>
  <c r="J32" i="24234"/>
  <c r="I9" i="2" s="1"/>
  <c r="D38" i="24234"/>
  <c r="E38" i="24234"/>
  <c r="D10" i="2" s="1"/>
  <c r="F38" i="24234"/>
  <c r="E10" i="2"/>
  <c r="G38" i="24234"/>
  <c r="F10" i="2" s="1"/>
  <c r="H38" i="24234"/>
  <c r="G10" i="2"/>
  <c r="I38" i="24234"/>
  <c r="J38" i="24234"/>
  <c r="I10" i="2" s="1"/>
  <c r="C105" i="24234"/>
  <c r="C106" i="24234"/>
  <c r="C107" i="24234"/>
  <c r="C108" i="24234"/>
  <c r="H10" i="2"/>
  <c r="H14" i="24234"/>
  <c r="G6" i="2" s="1"/>
  <c r="J14" i="24234"/>
  <c r="I6" i="2"/>
  <c r="G14" i="24234"/>
  <c r="F6" i="2" s="1"/>
  <c r="D14" i="24234"/>
  <c r="C6" i="2"/>
  <c r="E14" i="24234"/>
  <c r="D6" i="2" s="1"/>
  <c r="I14" i="24234"/>
  <c r="H6" i="2"/>
  <c r="F14" i="24234"/>
  <c r="E6" i="2" s="1"/>
  <c r="C10" i="2"/>
  <c r="C15" i="2" l="1"/>
  <c r="D32" i="24241"/>
  <c r="M19" i="2" s="1"/>
  <c r="D31" i="24241"/>
  <c r="M12" i="2" s="1"/>
  <c r="D30" i="24241"/>
  <c r="M5" i="2" s="1"/>
  <c r="C87" i="24237"/>
  <c r="C90" i="24237" s="1"/>
  <c r="M8" i="2" s="1"/>
  <c r="C10" i="24242"/>
  <c r="C18" i="24242" s="1"/>
  <c r="C20" i="24242" s="1"/>
  <c r="C22" i="24242" s="1"/>
  <c r="M7" i="2" s="1"/>
  <c r="D152" i="8"/>
  <c r="D185" i="8" s="1"/>
  <c r="D87" i="8"/>
  <c r="D262" i="8" s="1"/>
  <c r="D25" i="8"/>
  <c r="D66" i="8" s="1"/>
  <c r="F13" i="8"/>
  <c r="F26" i="8"/>
  <c r="F67" i="8" s="1"/>
  <c r="D26" i="8"/>
  <c r="D67" i="8" s="1"/>
  <c r="F14" i="8"/>
  <c r="D14" i="8"/>
  <c r="D49" i="8" s="1"/>
  <c r="F25" i="8"/>
  <c r="F66" i="8" s="1"/>
  <c r="D13" i="8"/>
  <c r="D48" i="8" s="1"/>
  <c r="F27" i="8"/>
  <c r="F68" i="8" s="1"/>
  <c r="D27" i="8"/>
  <c r="D68" i="8" s="1"/>
  <c r="F15" i="8"/>
  <c r="D15" i="8"/>
  <c r="D50" i="8" s="1"/>
  <c r="F24" i="8"/>
  <c r="F65" i="8" s="1"/>
  <c r="D24" i="8"/>
  <c r="D65" i="8" s="1"/>
  <c r="F12" i="8"/>
  <c r="D149" i="8"/>
  <c r="D182" i="8" s="1"/>
  <c r="D84" i="8"/>
  <c r="D259" i="8" s="1"/>
  <c r="D163" i="8"/>
  <c r="D192" i="8" s="1"/>
  <c r="D240" i="8"/>
  <c r="D269" i="8" s="1"/>
  <c r="D99" i="8"/>
  <c r="F149" i="8"/>
  <c r="F182" i="8" s="1"/>
  <c r="F84" i="8"/>
  <c r="F259" i="8" s="1"/>
  <c r="F163" i="8"/>
  <c r="F192" i="8" s="1"/>
  <c r="F240" i="8"/>
  <c r="F269" i="8" s="1"/>
  <c r="F99" i="8"/>
  <c r="D98" i="8"/>
  <c r="D162" i="8"/>
  <c r="D191" i="8" s="1"/>
  <c r="D239" i="8"/>
  <c r="D268" i="8" s="1"/>
  <c r="D146" i="8"/>
  <c r="D179" i="8" s="1"/>
  <c r="D81" i="8"/>
  <c r="F21" i="8"/>
  <c r="F62" i="8" s="1"/>
  <c r="D21" i="8"/>
  <c r="D62" i="8" s="1"/>
  <c r="F7" i="8"/>
  <c r="F42" i="8" s="1"/>
  <c r="D7" i="8"/>
  <c r="D42" i="8" s="1"/>
  <c r="F241" i="8"/>
  <c r="F270" i="8" s="1"/>
  <c r="D241" i="8"/>
  <c r="D270" i="8" s="1"/>
  <c r="F164" i="8"/>
  <c r="F193" i="8" s="1"/>
  <c r="D164" i="8"/>
  <c r="D193" i="8" s="1"/>
  <c r="F146" i="8"/>
  <c r="F179" i="8" s="1"/>
  <c r="F18" i="8"/>
  <c r="F59" i="8" s="1"/>
  <c r="F8" i="8"/>
  <c r="F43" i="8" s="1"/>
  <c r="D8" i="8"/>
  <c r="D43" i="8" s="1"/>
  <c r="R27" i="24232"/>
  <c r="R54" i="24232" s="1"/>
  <c r="G118" i="8" s="1"/>
  <c r="R26" i="24232"/>
  <c r="R53" i="24232" s="1"/>
  <c r="G117" i="8" s="1"/>
  <c r="T27" i="24232"/>
  <c r="I17" i="24235"/>
  <c r="T22" i="3"/>
  <c r="T29" i="3" s="1"/>
  <c r="I7" i="24232"/>
  <c r="T8" i="24232" s="1"/>
  <c r="T26" i="24232" s="1"/>
  <c r="D17" i="24235"/>
  <c r="O22" i="3"/>
  <c r="R7" i="24232"/>
  <c r="R25" i="24232" s="1"/>
  <c r="R52" i="24232" s="1"/>
  <c r="G116" i="8" s="1"/>
  <c r="R13" i="24232"/>
  <c r="R20" i="3"/>
  <c r="R27" i="3" s="1"/>
  <c r="G5" i="24232"/>
  <c r="G15" i="24235"/>
  <c r="U9" i="3"/>
  <c r="J18" i="24235" s="1"/>
  <c r="R15" i="24232"/>
  <c r="R21" i="3"/>
  <c r="R28" i="3" s="1"/>
  <c r="J15" i="24235"/>
  <c r="U8" i="3"/>
  <c r="J17" i="24235" s="1"/>
  <c r="R14" i="24232"/>
  <c r="T6" i="24232"/>
  <c r="T24" i="24232" s="1"/>
  <c r="P6" i="3"/>
  <c r="T30" i="3"/>
  <c r="G16" i="24235"/>
  <c r="P9" i="3"/>
  <c r="E8" i="24232" s="1"/>
  <c r="P15" i="24232" s="1"/>
  <c r="U7" i="3"/>
  <c r="J16" i="24235" s="1"/>
  <c r="R23" i="3"/>
  <c r="R30" i="3" s="1"/>
  <c r="T7" i="24232"/>
  <c r="T25" i="24232" s="1"/>
  <c r="P7" i="3"/>
  <c r="P9" i="24232"/>
  <c r="P27" i="24232" s="1"/>
  <c r="P54" i="24232" s="1"/>
  <c r="E118" i="8" s="1"/>
  <c r="F8" i="24232"/>
  <c r="F18" i="24235"/>
  <c r="Q23" i="3"/>
  <c r="Q30" i="3" s="1"/>
  <c r="E7" i="24232"/>
  <c r="E17" i="24235"/>
  <c r="P22" i="3"/>
  <c r="U12" i="24232"/>
  <c r="U6" i="24232"/>
  <c r="U24" i="24232" s="1"/>
  <c r="U51" i="24232" s="1"/>
  <c r="J115" i="8" s="1"/>
  <c r="Q6" i="24232"/>
  <c r="Q24" i="24232" s="1"/>
  <c r="Q12" i="24232"/>
  <c r="O20" i="3"/>
  <c r="O27" i="3" s="1"/>
  <c r="D5" i="24232"/>
  <c r="D15" i="24235"/>
  <c r="Q7" i="24232"/>
  <c r="Q25" i="24232" s="1"/>
  <c r="Q52" i="24232" s="1"/>
  <c r="F116" i="8" s="1"/>
  <c r="Q13" i="24232"/>
  <c r="J8" i="24232"/>
  <c r="U23" i="3"/>
  <c r="T15" i="24232"/>
  <c r="J7" i="24232"/>
  <c r="T14" i="24232"/>
  <c r="Q8" i="24232"/>
  <c r="Q26" i="24232" s="1"/>
  <c r="Q53" i="24232" s="1"/>
  <c r="F117" i="8" s="1"/>
  <c r="Q14" i="24232"/>
  <c r="E5" i="24232"/>
  <c r="E15" i="24235"/>
  <c r="P20" i="3"/>
  <c r="P27" i="3" s="1"/>
  <c r="U30" i="3"/>
  <c r="J6" i="24232"/>
  <c r="U21" i="3"/>
  <c r="U28" i="3" s="1"/>
  <c r="E18" i="24235"/>
  <c r="P23" i="3"/>
  <c r="P30" i="3" s="1"/>
  <c r="D18" i="24235"/>
  <c r="D8" i="24232"/>
  <c r="E16" i="24235"/>
  <c r="E35" i="24235" s="1"/>
  <c r="E42" i="24235" s="1"/>
  <c r="P21" i="3"/>
  <c r="E6" i="24232"/>
  <c r="T54" i="24232"/>
  <c r="I118" i="8" s="1"/>
  <c r="T53" i="24232"/>
  <c r="I117" i="8" s="1"/>
  <c r="T52" i="24232"/>
  <c r="I116" i="8" s="1"/>
  <c r="T51" i="24232"/>
  <c r="I115" i="8" s="1"/>
  <c r="P29" i="3"/>
  <c r="P28" i="3"/>
  <c r="T27" i="3"/>
  <c r="Q20" i="3"/>
  <c r="Q27" i="3" s="1"/>
  <c r="F17" i="24235"/>
  <c r="F16" i="24235"/>
  <c r="F15" i="24235"/>
  <c r="D7" i="24232"/>
  <c r="D6" i="24232"/>
  <c r="Q51" i="24232"/>
  <c r="F115" i="8" s="1"/>
  <c r="O30" i="3"/>
  <c r="O29" i="3"/>
  <c r="Q28" i="3"/>
  <c r="O21" i="3"/>
  <c r="O28" i="3" s="1"/>
  <c r="J34" i="24235"/>
  <c r="J41" i="24235" s="1"/>
  <c r="J36" i="24235"/>
  <c r="J43" i="24235" s="1"/>
  <c r="D35" i="24235"/>
  <c r="D42" i="24235" s="1"/>
  <c r="C30" i="24235"/>
  <c r="C44" i="24237"/>
  <c r="C43" i="24237"/>
  <c r="C50" i="24237" s="1"/>
  <c r="C42" i="24237"/>
  <c r="C49" i="24237" s="1"/>
  <c r="C41" i="24237"/>
  <c r="C48" i="24237" s="1"/>
  <c r="C52" i="24237"/>
  <c r="C4" i="2"/>
  <c r="B49" i="3"/>
  <c r="N41" i="24232"/>
  <c r="D44" i="24237"/>
  <c r="E59" i="24238"/>
  <c r="E64" i="24238" s="1"/>
  <c r="E79" i="24238" s="1"/>
  <c r="E48" i="24238"/>
  <c r="E55" i="24238" s="1"/>
  <c r="E78" i="24238" s="1"/>
  <c r="D168" i="8" l="1"/>
  <c r="D197" i="8" s="1"/>
  <c r="D245" i="8"/>
  <c r="D274" i="8" s="1"/>
  <c r="D104" i="8"/>
  <c r="F48" i="8"/>
  <c r="F263" i="8"/>
  <c r="F168" i="8"/>
  <c r="F197" i="8" s="1"/>
  <c r="F245" i="8"/>
  <c r="F274" i="8" s="1"/>
  <c r="F104" i="8"/>
  <c r="F107" i="8"/>
  <c r="F248" i="8"/>
  <c r="F277" i="8" s="1"/>
  <c r="F171" i="8"/>
  <c r="F200" i="8" s="1"/>
  <c r="F264" i="8"/>
  <c r="F49" i="8"/>
  <c r="D105" i="8"/>
  <c r="D246" i="8"/>
  <c r="D275" i="8" s="1"/>
  <c r="D169" i="8"/>
  <c r="D198" i="8" s="1"/>
  <c r="D89" i="8"/>
  <c r="D264" i="8" s="1"/>
  <c r="D154" i="8"/>
  <c r="D187" i="8" s="1"/>
  <c r="D90" i="8"/>
  <c r="D265" i="8" s="1"/>
  <c r="D155" i="8"/>
  <c r="D188" i="8" s="1"/>
  <c r="D88" i="8"/>
  <c r="D263" i="8" s="1"/>
  <c r="D153" i="8"/>
  <c r="D186" i="8" s="1"/>
  <c r="D106" i="8"/>
  <c r="D170" i="8"/>
  <c r="D199" i="8" s="1"/>
  <c r="D247" i="8"/>
  <c r="D276" i="8" s="1"/>
  <c r="D248" i="8"/>
  <c r="D277" i="8" s="1"/>
  <c r="D171" i="8"/>
  <c r="D200" i="8" s="1"/>
  <c r="D107" i="8"/>
  <c r="F262" i="8"/>
  <c r="F47" i="8"/>
  <c r="F50" i="8"/>
  <c r="F265" i="8"/>
  <c r="F105" i="8"/>
  <c r="F169" i="8"/>
  <c r="F198" i="8" s="1"/>
  <c r="F246" i="8"/>
  <c r="F275" i="8" s="1"/>
  <c r="F106" i="8"/>
  <c r="F170" i="8"/>
  <c r="F199" i="8" s="1"/>
  <c r="F247" i="8"/>
  <c r="F276" i="8" s="1"/>
  <c r="F165" i="8"/>
  <c r="F194" i="8" s="1"/>
  <c r="F242" i="8"/>
  <c r="F271" i="8" s="1"/>
  <c r="F101" i="8"/>
  <c r="D83" i="8"/>
  <c r="D258" i="8" s="1"/>
  <c r="D148" i="8"/>
  <c r="D181" i="8" s="1"/>
  <c r="D147" i="8"/>
  <c r="D180" i="8" s="1"/>
  <c r="D82" i="8"/>
  <c r="D257" i="8" s="1"/>
  <c r="D256" i="8"/>
  <c r="F83" i="8"/>
  <c r="F258" i="8" s="1"/>
  <c r="F148" i="8"/>
  <c r="F181" i="8" s="1"/>
  <c r="F147" i="8"/>
  <c r="F180" i="8" s="1"/>
  <c r="F82" i="8"/>
  <c r="F257" i="8" s="1"/>
  <c r="F98" i="8"/>
  <c r="F162" i="8"/>
  <c r="F191" i="8" s="1"/>
  <c r="F239" i="8"/>
  <c r="F268" i="8" s="1"/>
  <c r="D165" i="8"/>
  <c r="D194" i="8" s="1"/>
  <c r="D242" i="8"/>
  <c r="D271" i="8" s="1"/>
  <c r="D101" i="8"/>
  <c r="F35" i="24235"/>
  <c r="F42" i="24235" s="1"/>
  <c r="U22" i="3"/>
  <c r="U29" i="3" s="1"/>
  <c r="R6" i="24232"/>
  <c r="R24" i="24232" s="1"/>
  <c r="R51" i="24232" s="1"/>
  <c r="G115" i="8" s="1"/>
  <c r="R12" i="24232"/>
  <c r="P13" i="24232"/>
  <c r="P7" i="24232"/>
  <c r="P25" i="24232" s="1"/>
  <c r="P52" i="24232" s="1"/>
  <c r="E116" i="8" s="1"/>
  <c r="U13" i="24232"/>
  <c r="U7" i="24232"/>
  <c r="U25" i="24232" s="1"/>
  <c r="U52" i="24232" s="1"/>
  <c r="J116" i="8" s="1"/>
  <c r="P12" i="24232"/>
  <c r="P6" i="24232"/>
  <c r="P24" i="24232" s="1"/>
  <c r="P51" i="24232" s="1"/>
  <c r="E115" i="8" s="1"/>
  <c r="U15" i="24232"/>
  <c r="U9" i="24232"/>
  <c r="U27" i="24232" s="1"/>
  <c r="U54" i="24232" s="1"/>
  <c r="J118" i="8" s="1"/>
  <c r="O7" i="24232"/>
  <c r="O25" i="24232" s="1"/>
  <c r="O52" i="24232" s="1"/>
  <c r="D116" i="8" s="1"/>
  <c r="O13" i="24232"/>
  <c r="U14" i="24232"/>
  <c r="U8" i="24232"/>
  <c r="U26" i="24232" s="1"/>
  <c r="U53" i="24232" s="1"/>
  <c r="J117" i="8" s="1"/>
  <c r="O6" i="24232"/>
  <c r="O24" i="24232" s="1"/>
  <c r="O51" i="24232" s="1"/>
  <c r="D115" i="8" s="1"/>
  <c r="O12" i="24232"/>
  <c r="P14" i="24232"/>
  <c r="P8" i="24232"/>
  <c r="P26" i="24232" s="1"/>
  <c r="P53" i="24232" s="1"/>
  <c r="E117" i="8" s="1"/>
  <c r="Q9" i="24232"/>
  <c r="Q27" i="24232" s="1"/>
  <c r="Q54" i="24232" s="1"/>
  <c r="F118" i="8" s="1"/>
  <c r="Q15" i="24232"/>
  <c r="O8" i="24232"/>
  <c r="O26" i="24232" s="1"/>
  <c r="O53" i="24232" s="1"/>
  <c r="D117" i="8" s="1"/>
  <c r="O14" i="24232"/>
  <c r="O9" i="24232"/>
  <c r="O27" i="24232" s="1"/>
  <c r="O54" i="24232" s="1"/>
  <c r="D118" i="8" s="1"/>
  <c r="O15" i="24232"/>
  <c r="D34" i="24235"/>
  <c r="D41" i="24235" s="1"/>
  <c r="G34" i="24235"/>
  <c r="G41" i="24235" s="1"/>
  <c r="F36" i="24235"/>
  <c r="F43" i="24235" s="1"/>
  <c r="E37" i="24235"/>
  <c r="E44" i="24235" s="1"/>
  <c r="D37" i="24235"/>
  <c r="D44" i="24235" s="1"/>
  <c r="J37" i="24235"/>
  <c r="J44" i="24235" s="1"/>
  <c r="J35" i="24235"/>
  <c r="J42" i="24235" s="1"/>
  <c r="I37" i="24235"/>
  <c r="I44" i="24235" s="1"/>
  <c r="I35" i="24235"/>
  <c r="I42" i="24235" s="1"/>
  <c r="I36" i="24235"/>
  <c r="I43" i="24235" s="1"/>
  <c r="I34" i="24235"/>
  <c r="I41" i="24235" s="1"/>
  <c r="E34" i="24235"/>
  <c r="E41" i="24235" s="1"/>
  <c r="G36" i="24235"/>
  <c r="G43" i="24235" s="1"/>
  <c r="F34" i="24235"/>
  <c r="F41" i="24235" s="1"/>
  <c r="E36" i="24235"/>
  <c r="E43" i="24235" s="1"/>
  <c r="D36" i="24235"/>
  <c r="D43" i="24235" s="1"/>
  <c r="G37" i="24235"/>
  <c r="G44" i="24235" s="1"/>
  <c r="G35" i="24235"/>
  <c r="G42" i="24235" s="1"/>
  <c r="F37" i="24235"/>
  <c r="F44" i="24235" s="1"/>
  <c r="E109" i="24238"/>
  <c r="E111" i="24238" s="1"/>
  <c r="E112" i="24238" s="1"/>
  <c r="E113" i="24238" s="1"/>
  <c r="M17" i="2" s="1"/>
  <c r="E92" i="24238"/>
  <c r="E94" i="24238" s="1"/>
  <c r="E95" i="24238" s="1"/>
  <c r="E96" i="24238" s="1"/>
  <c r="M11" i="2" s="1"/>
  <c r="E49" i="3"/>
  <c r="F49" i="3"/>
  <c r="G49" i="3"/>
  <c r="D49" i="3"/>
  <c r="I49" i="3"/>
  <c r="E110" i="24238"/>
  <c r="E93" i="24238"/>
  <c r="O41" i="24232"/>
  <c r="Q41" i="24232"/>
  <c r="T41" i="24232"/>
  <c r="P41" i="24232"/>
  <c r="R41" i="24232"/>
  <c r="S41" i="24232"/>
  <c r="U41" i="24232"/>
  <c r="C51" i="24237"/>
  <c r="C54" i="24237" s="1"/>
  <c r="C55" i="24237" s="1"/>
  <c r="C57" i="24237" s="1"/>
  <c r="M4" i="2" s="1"/>
  <c r="F88" i="8" l="1"/>
  <c r="F153" i="8"/>
  <c r="F186" i="8" s="1"/>
  <c r="F90" i="8"/>
  <c r="F155" i="8"/>
  <c r="F188" i="8" s="1"/>
  <c r="F152" i="8"/>
  <c r="F185" i="8" s="1"/>
  <c r="F87" i="8"/>
  <c r="F89" i="8"/>
  <c r="F154" i="8"/>
  <c r="F187" i="8" s="1"/>
  <c r="C202" i="8" s="1"/>
  <c r="C203" i="8" s="1"/>
  <c r="C204" i="8" s="1"/>
  <c r="M15" i="2" s="1"/>
  <c r="C279" i="8"/>
  <c r="C280" i="8" s="1"/>
  <c r="C281" i="8" s="1"/>
  <c r="M16" i="2" s="1"/>
  <c r="O4" i="2"/>
  <c r="H31" i="3"/>
  <c r="S14" i="3" s="1"/>
  <c r="S6" i="3" s="1"/>
  <c r="H43" i="24232"/>
  <c r="H44" i="24232"/>
  <c r="H45" i="24232"/>
  <c r="H42" i="24232"/>
  <c r="F42" i="24232"/>
  <c r="Q18" i="24232" s="1"/>
  <c r="Q45" i="24232" s="1"/>
  <c r="Q57" i="24232" s="1"/>
  <c r="F121" i="8" s="1"/>
  <c r="F131" i="8" s="1"/>
  <c r="F43" i="24232"/>
  <c r="Q19" i="24232" s="1"/>
  <c r="Q46" i="24232" s="1"/>
  <c r="Q58" i="24232" s="1"/>
  <c r="F122" i="8" s="1"/>
  <c r="F132" i="8" s="1"/>
  <c r="F44" i="24232"/>
  <c r="Q20" i="24232" s="1"/>
  <c r="Q47" i="24232" s="1"/>
  <c r="Q59" i="24232" s="1"/>
  <c r="F123" i="8" s="1"/>
  <c r="F133" i="8" s="1"/>
  <c r="F45" i="24232"/>
  <c r="Q21" i="24232" s="1"/>
  <c r="Q48" i="24232" s="1"/>
  <c r="Q60" i="24232" s="1"/>
  <c r="F124" i="8" s="1"/>
  <c r="F134" i="8" s="1"/>
  <c r="H33" i="3"/>
  <c r="S16" i="3" s="1"/>
  <c r="S8" i="3" s="1"/>
  <c r="G42" i="24232"/>
  <c r="R18" i="24232" s="1"/>
  <c r="R45" i="24232" s="1"/>
  <c r="R57" i="24232" s="1"/>
  <c r="G121" i="8" s="1"/>
  <c r="G131" i="8" s="1"/>
  <c r="G43" i="24232"/>
  <c r="R19" i="24232" s="1"/>
  <c r="R46" i="24232" s="1"/>
  <c r="R58" i="24232" s="1"/>
  <c r="G122" i="8" s="1"/>
  <c r="G132" i="8" s="1"/>
  <c r="G44" i="24232"/>
  <c r="R20" i="24232" s="1"/>
  <c r="R47" i="24232" s="1"/>
  <c r="R59" i="24232" s="1"/>
  <c r="G123" i="8" s="1"/>
  <c r="G133" i="8" s="1"/>
  <c r="G45" i="24232"/>
  <c r="R21" i="24232" s="1"/>
  <c r="R48" i="24232" s="1"/>
  <c r="R60" i="24232" s="1"/>
  <c r="G124" i="8" s="1"/>
  <c r="G134" i="8" s="1"/>
  <c r="D43" i="24232"/>
  <c r="O19" i="24232" s="1"/>
  <c r="O46" i="24232" s="1"/>
  <c r="O58" i="24232" s="1"/>
  <c r="D122" i="8" s="1"/>
  <c r="D132" i="8" s="1"/>
  <c r="D44" i="24232"/>
  <c r="O20" i="24232" s="1"/>
  <c r="O47" i="24232" s="1"/>
  <c r="O59" i="24232" s="1"/>
  <c r="D123" i="8" s="1"/>
  <c r="D133" i="8" s="1"/>
  <c r="D45" i="24232"/>
  <c r="O21" i="24232" s="1"/>
  <c r="O48" i="24232" s="1"/>
  <c r="O60" i="24232" s="1"/>
  <c r="D124" i="8" s="1"/>
  <c r="D134" i="8" s="1"/>
  <c r="D42" i="24232"/>
  <c r="O18" i="24232" s="1"/>
  <c r="O45" i="24232" s="1"/>
  <c r="O57" i="24232" s="1"/>
  <c r="D121" i="8" s="1"/>
  <c r="D131" i="8" s="1"/>
  <c r="J108" i="24234"/>
  <c r="J107" i="24234"/>
  <c r="J105" i="24234"/>
  <c r="J106" i="24234"/>
  <c r="H32" i="3"/>
  <c r="S15" i="3" s="1"/>
  <c r="S7" i="3" s="1"/>
  <c r="E43" i="24232"/>
  <c r="P19" i="24232" s="1"/>
  <c r="P46" i="24232" s="1"/>
  <c r="P58" i="24232" s="1"/>
  <c r="E122" i="8" s="1"/>
  <c r="E132" i="8" s="1"/>
  <c r="E44" i="24232"/>
  <c r="P20" i="24232" s="1"/>
  <c r="P47" i="24232" s="1"/>
  <c r="P59" i="24232" s="1"/>
  <c r="E123" i="8" s="1"/>
  <c r="E133" i="8" s="1"/>
  <c r="E45" i="24232"/>
  <c r="P21" i="24232" s="1"/>
  <c r="P48" i="24232" s="1"/>
  <c r="P60" i="24232" s="1"/>
  <c r="E124" i="8" s="1"/>
  <c r="E134" i="8" s="1"/>
  <c r="E42" i="24232"/>
  <c r="P18" i="24232" s="1"/>
  <c r="P45" i="24232" s="1"/>
  <c r="P57" i="24232" s="1"/>
  <c r="E121" i="8" s="1"/>
  <c r="E131" i="8" s="1"/>
  <c r="J42" i="24232"/>
  <c r="U18" i="24232" s="1"/>
  <c r="U45" i="24232" s="1"/>
  <c r="U57" i="24232" s="1"/>
  <c r="J121" i="8" s="1"/>
  <c r="J131" i="8" s="1"/>
  <c r="J43" i="24232"/>
  <c r="U19" i="24232" s="1"/>
  <c r="U46" i="24232" s="1"/>
  <c r="U58" i="24232" s="1"/>
  <c r="J122" i="8" s="1"/>
  <c r="J132" i="8" s="1"/>
  <c r="J44" i="24232"/>
  <c r="U20" i="24232" s="1"/>
  <c r="U47" i="24232" s="1"/>
  <c r="U59" i="24232" s="1"/>
  <c r="J123" i="8" s="1"/>
  <c r="J133" i="8" s="1"/>
  <c r="J45" i="24232"/>
  <c r="U21" i="24232" s="1"/>
  <c r="U48" i="24232" s="1"/>
  <c r="U60" i="24232" s="1"/>
  <c r="J124" i="8" s="1"/>
  <c r="J134" i="8" s="1"/>
  <c r="I42" i="24232"/>
  <c r="T18" i="24232" s="1"/>
  <c r="T45" i="24232" s="1"/>
  <c r="T57" i="24232" s="1"/>
  <c r="I121" i="8" s="1"/>
  <c r="I131" i="8" s="1"/>
  <c r="I43" i="24232"/>
  <c r="T19" i="24232" s="1"/>
  <c r="T46" i="24232" s="1"/>
  <c r="T58" i="24232" s="1"/>
  <c r="I122" i="8" s="1"/>
  <c r="I132" i="8" s="1"/>
  <c r="I44" i="24232"/>
  <c r="T20" i="24232" s="1"/>
  <c r="T47" i="24232" s="1"/>
  <c r="T59" i="24232" s="1"/>
  <c r="I123" i="8" s="1"/>
  <c r="I133" i="8" s="1"/>
  <c r="I45" i="24232"/>
  <c r="T21" i="24232" s="1"/>
  <c r="T48" i="24232" s="1"/>
  <c r="T60" i="24232" s="1"/>
  <c r="I124" i="8" s="1"/>
  <c r="I134" i="8" s="1"/>
  <c r="H34" i="3"/>
  <c r="S17" i="3" s="1"/>
  <c r="S9" i="3" s="1"/>
  <c r="C109" i="8" l="1"/>
  <c r="C110" i="8" s="1"/>
  <c r="C111" i="8" s="1"/>
  <c r="M13" i="2" s="1"/>
  <c r="H16" i="24235"/>
  <c r="H35" i="24235" s="1"/>
  <c r="H42" i="24235" s="1"/>
  <c r="H6" i="24232"/>
  <c r="S21" i="3"/>
  <c r="S28" i="3" s="1"/>
  <c r="H5" i="24232"/>
  <c r="H15" i="24235"/>
  <c r="H34" i="24235" s="1"/>
  <c r="H41" i="24235" s="1"/>
  <c r="S20" i="3"/>
  <c r="S27" i="3" s="1"/>
  <c r="H7" i="24232"/>
  <c r="S22" i="3"/>
  <c r="S29" i="3" s="1"/>
  <c r="H17" i="24235"/>
  <c r="H36" i="24235" s="1"/>
  <c r="H43" i="24235" s="1"/>
  <c r="S23" i="3"/>
  <c r="S30" i="3" s="1"/>
  <c r="H8" i="24232"/>
  <c r="H18" i="24235"/>
  <c r="H37" i="24235" s="1"/>
  <c r="H44" i="24235" s="1"/>
  <c r="S6" i="24232" l="1"/>
  <c r="S12" i="24232"/>
  <c r="S18" i="24232" s="1"/>
  <c r="S8" i="24232"/>
  <c r="S14" i="24232"/>
  <c r="S20" i="24232" s="1"/>
  <c r="N33" i="3"/>
  <c r="N34" i="3" s="1"/>
  <c r="N35" i="3" s="1"/>
  <c r="M9" i="2" s="1"/>
  <c r="S7" i="24232"/>
  <c r="S13" i="24232"/>
  <c r="S19" i="24232" s="1"/>
  <c r="S9" i="24232"/>
  <c r="S15" i="24232"/>
  <c r="S21" i="24232" s="1"/>
  <c r="C46" i="24235"/>
  <c r="C47" i="24235" s="1"/>
  <c r="C48" i="24235" s="1"/>
  <c r="M10" i="2" s="1"/>
  <c r="S27" i="24232" l="1"/>
  <c r="S54" i="24232" s="1"/>
  <c r="H118" i="8" s="1"/>
  <c r="S26" i="24232"/>
  <c r="S53" i="24232" s="1"/>
  <c r="H117" i="8" s="1"/>
  <c r="S25" i="24232"/>
  <c r="S52" i="24232" s="1"/>
  <c r="H116" i="8" s="1"/>
  <c r="O5" i="2"/>
  <c r="S24" i="24232"/>
  <c r="S51" i="24232" s="1"/>
  <c r="H115" i="8" s="1"/>
  <c r="S45" i="24232" l="1"/>
  <c r="S57" i="24232" s="1"/>
  <c r="H121" i="8" s="1"/>
  <c r="H131" i="8" s="1"/>
  <c r="S47" i="24232"/>
  <c r="S59" i="24232" s="1"/>
  <c r="H123" i="8" s="1"/>
  <c r="H133" i="8" s="1"/>
  <c r="S46" i="24232"/>
  <c r="S58" i="24232" s="1"/>
  <c r="H122" i="8" s="1"/>
  <c r="H132" i="8" s="1"/>
  <c r="S48" i="24232"/>
  <c r="S60" i="24232" s="1"/>
  <c r="H124" i="8" s="1"/>
  <c r="H134" i="8" s="1"/>
  <c r="C137" i="8" l="1"/>
  <c r="C138" i="8" s="1"/>
  <c r="C139" i="8" s="1"/>
  <c r="M14" i="2" s="1"/>
  <c r="O6" i="2" l="1"/>
  <c r="M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Seyda Ozkan</author>
    <author>Dr Richard J Eckard</author>
    <author>Richard Eckard</author>
  </authors>
  <commentList>
    <comment ref="I1" authorId="0" shapeId="0" xr:uid="{00000000-0006-0000-0100-000001000000}">
      <text>
        <r>
          <rPr>
            <sz val="8"/>
            <color indexed="81"/>
            <rFont val="Tahoma"/>
            <family val="2"/>
          </rPr>
          <t>Type the name of your farm</t>
        </r>
      </text>
    </comment>
    <comment ref="E7" authorId="0" shapeId="0" xr:uid="{00000000-0006-0000-0100-000002000000}">
      <text>
        <r>
          <rPr>
            <sz val="8"/>
            <color indexed="81"/>
            <rFont val="Tahoma"/>
            <family val="2"/>
          </rPr>
          <t>In the current methodology, it is considered that leaching occurs where Et/P &lt; 0.8 or Et/P &gt; 1 (See the map below). Regions outside these areas (orange zone) are considered to be 'dryland' and not subject to leaching.</t>
        </r>
      </text>
    </comment>
    <comment ref="B10" authorId="1" shapeId="0" xr:uid="{00000000-0006-0000-0100-000003000000}">
      <text>
        <r>
          <rPr>
            <sz val="8"/>
            <color indexed="81"/>
            <rFont val="Tahoma"/>
            <family val="2"/>
          </rPr>
          <t>Insert the number of animals in each category in each season.</t>
        </r>
      </text>
    </comment>
    <comment ref="B16" authorId="1" shapeId="0" xr:uid="{00000000-0006-0000-0100-000004000000}">
      <text>
        <r>
          <rPr>
            <sz val="8"/>
            <color indexed="81"/>
            <rFont val="Tahoma"/>
            <family val="2"/>
          </rPr>
          <t>Specify the average liveweight of your herd for each category in each season</t>
        </r>
      </text>
    </comment>
    <comment ref="B22" authorId="1" shapeId="0" xr:uid="{00000000-0006-0000-0100-000005000000}">
      <text>
        <r>
          <rPr>
            <sz val="8"/>
            <color indexed="81"/>
            <rFont val="Tahoma"/>
            <family val="2"/>
          </rPr>
          <t>Insert the likely average daily liveweight gain for each class of animal in each season.</t>
        </r>
      </text>
    </comment>
    <comment ref="B28" authorId="0" shapeId="0" xr:uid="{00000000-0006-0000-0100-000006000000}">
      <text>
        <r>
          <rPr>
            <sz val="8"/>
            <color indexed="81"/>
            <rFont val="Tahoma"/>
            <family val="2"/>
          </rPr>
          <t>Enter the CP in the feed eaten, not on offer</t>
        </r>
      </text>
    </comment>
    <comment ref="B34" authorId="2" shapeId="0" xr:uid="{00000000-0006-0000-0100-000007000000}">
      <text>
        <r>
          <rPr>
            <sz val="8"/>
            <color indexed="81"/>
            <rFont val="Tahoma"/>
            <family val="2"/>
          </rPr>
          <t>Enter the dry matter digestibility (DMD) in the feed eaten, not on offer</t>
        </r>
      </text>
    </comment>
    <comment ref="B41" authorId="0" shapeId="0" xr:uid="{00000000-0006-0000-0100-000008000000}">
      <text>
        <r>
          <rPr>
            <sz val="8"/>
            <color indexed="81"/>
            <rFont val="Tahoma"/>
            <family val="2"/>
          </rPr>
          <t>The total area of land cultivated for cropping.</t>
        </r>
      </text>
    </comment>
    <comment ref="B42" authorId="0" shapeId="0" xr:uid="{00000000-0006-0000-0100-000009000000}">
      <text>
        <r>
          <rPr>
            <sz val="8"/>
            <color indexed="81"/>
            <rFont val="Tahoma"/>
            <family val="2"/>
          </rPr>
          <t>Total area of pastures on the farm, that is not natural rangeland.</t>
        </r>
      </text>
    </comment>
    <comment ref="B45" authorId="0" shapeId="0" xr:uid="{00000000-0006-0000-0100-00000A000000}">
      <text>
        <r>
          <rPr>
            <sz val="8"/>
            <color indexed="81"/>
            <rFont val="Tahoma"/>
            <family val="2"/>
          </rPr>
          <t>Amount of Nitrogen fertiliser applied on crops (in kg N/ha) - remember that urea is 46%N and DAP is 18% N etc. i.e. 10 tonnes of urea = 10000*46/100 kg N</t>
        </r>
      </text>
    </comment>
    <comment ref="B52" authorId="0" shapeId="0" xr:uid="{00000000-0006-0000-0100-00000B000000}">
      <text>
        <r>
          <rPr>
            <sz val="8"/>
            <color indexed="81"/>
            <rFont val="Tahoma"/>
            <family val="2"/>
          </rPr>
          <t>Amount of Nitrogen fertiliser applied on pastures (in kg N/ha) - remember that urea is 46%N and DAP is 18% N etc. i.e. 10 tonnes of urea = 10000*46/100 kg N</t>
        </r>
      </text>
    </comment>
    <comment ref="B59" authorId="0" shapeId="0" xr:uid="{00000000-0006-0000-0100-00000C000000}">
      <text>
        <r>
          <rPr>
            <sz val="8"/>
            <color indexed="81"/>
            <rFont val="Tahoma"/>
            <family val="2"/>
          </rPr>
          <t>Treated sewage sludge applied to land for purposes of disposal</t>
        </r>
      </text>
    </comment>
    <comment ref="B66" authorId="0" shapeId="0" xr:uid="{00000000-0006-0000-0100-00000D000000}">
      <text>
        <r>
          <rPr>
            <sz val="8"/>
            <color indexed="81"/>
            <rFont val="Tahoma"/>
            <family val="2"/>
          </rPr>
          <t>Treated sewage sludge applied to land for purposes of disposal</t>
        </r>
      </text>
    </comment>
    <comment ref="B72" authorId="0" shapeId="0" xr:uid="{00000000-0006-0000-0100-00000E000000}">
      <text>
        <r>
          <rPr>
            <sz val="8"/>
            <color indexed="8"/>
            <rFont val="Tahoma"/>
            <family val="2"/>
          </rPr>
          <t>Total amount of Nitrogen fertiliser applied on crops (in kg N) - remember that urea is 46%N and DAP is 18% N etc. i.e. 10 tonnes of urea = 10000*46/100 kg N/ha</t>
        </r>
      </text>
    </comment>
    <comment ref="B73" authorId="0" shapeId="0" xr:uid="{00000000-0006-0000-0100-00000F000000}">
      <text>
        <r>
          <rPr>
            <sz val="8"/>
            <color indexed="81"/>
            <rFont val="Tahoma"/>
            <family val="2"/>
          </rPr>
          <t>Total amount of Nitrogen fertiliser applied on pastures (in kg N) - remember that urea is 46%N and DAP is 18% N etc. i.e. 10 tonnes of urea = 10000*46/100 kg N/ha</t>
        </r>
      </text>
    </comment>
    <comment ref="C92" authorId="0" shapeId="0" xr:uid="{00000000-0006-0000-0100-000010000000}">
      <text>
        <r>
          <rPr>
            <sz val="8"/>
            <color indexed="81"/>
            <rFont val="Tahoma"/>
            <family val="2"/>
          </rPr>
          <t>For example, if you are in Gippsland, it is most likely from Victorian Brown Coal. If you deliberately buy power from renewable sources or Green Power, then select the bottom option.
While electricity consumption is not a greenhouse emission at a farm level, it is important to include this to allow you to investigate the impact of increased power use such as for comparing spray irrigation against flood irrigation.</t>
        </r>
      </text>
    </comment>
    <comment ref="B94" authorId="0" shapeId="0" xr:uid="{00000000-0006-0000-0100-000011000000}">
      <text>
        <r>
          <rPr>
            <sz val="8"/>
            <color indexed="81"/>
            <rFont val="Tahoma"/>
            <family val="2"/>
          </rPr>
          <t>How many litres of diesel did the farm use last year?</t>
        </r>
      </text>
    </comment>
    <comment ref="B96" authorId="0" shapeId="0" xr:uid="{00000000-0006-0000-0100-000012000000}">
      <text>
        <r>
          <rPr>
            <sz val="8"/>
            <color indexed="81"/>
            <rFont val="Tahoma"/>
            <family val="2"/>
          </rPr>
          <t>What was your total annual electricity bill for the year in KWh?</t>
        </r>
      </text>
    </comment>
    <comment ref="G104" authorId="2" shapeId="0" xr:uid="{00000000-0006-0000-0100-000013000000}">
      <text>
        <r>
          <rPr>
            <b/>
            <sz val="9"/>
            <color indexed="81"/>
            <rFont val="Tahoma"/>
            <family val="2"/>
          </rPr>
          <t xml:space="preserve">Insert the milk intake of the calves. The defaults for this are:
- Southern beef: 6 litre/day in the first season and 4 in the next season.
- Northen beef:  4 litre/day in the first season and 3 in the next season.
Note: These must aling with the cells to the right where cows are lactating.
</t>
        </r>
      </text>
    </comment>
    <comment ref="H104" authorId="0" shapeId="0" xr:uid="{00000000-0006-0000-0100-000014000000}">
      <text>
        <r>
          <rPr>
            <sz val="8"/>
            <color indexed="81"/>
            <rFont val="Tahoma"/>
            <family val="2"/>
          </rPr>
          <t xml:space="preserve">Enter the proportion of cows lactating
Note: This must correspond to the Feed Adjustment cells to the right. </t>
        </r>
      </text>
    </comment>
    <comment ref="I104" authorId="2" shapeId="0" xr:uid="{00000000-0006-0000-0100-000015000000}">
      <text>
        <r>
          <rPr>
            <b/>
            <sz val="9"/>
            <color indexed="81"/>
            <rFont val="Tahoma"/>
            <family val="2"/>
          </rPr>
          <t xml:space="preserve">The seasons when animals are lactating is taken from the inventory defaults. This is set when you choose the region at the top of this page.
NOTE: these numbers must align with the numbers in the left column. If not, then override the formulas using the data from the Table in cells AA2.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Seyda Ozkan</author>
  </authors>
  <commentList>
    <comment ref="L36" authorId="0" shapeId="0" xr:uid="{00000000-0006-0000-0500-000001000000}">
      <text>
        <r>
          <rPr>
            <sz val="8"/>
            <color indexed="81"/>
            <rFont val="Tahoma"/>
            <family val="2"/>
          </rPr>
          <t>considered 1 here</t>
        </r>
      </text>
    </comment>
    <comment ref="L55" authorId="0" shapeId="0" xr:uid="{00000000-0006-0000-0500-000002000000}">
      <text>
        <r>
          <rPr>
            <sz val="8"/>
            <color indexed="81"/>
            <rFont val="Tahoma"/>
            <family val="2"/>
          </rPr>
          <t>considered 1 here</t>
        </r>
      </text>
    </comment>
    <comment ref="L209" authorId="0" shapeId="0" xr:uid="{00000000-0006-0000-0500-000003000000}">
      <text>
        <r>
          <rPr>
            <sz val="8"/>
            <color indexed="81"/>
            <rFont val="Tahoma"/>
            <family val="2"/>
          </rPr>
          <t>For further information, please refer to the comment in data input page where Et/P ratio is questioned.</t>
        </r>
      </text>
    </comment>
  </commentList>
</comments>
</file>

<file path=xl/sharedStrings.xml><?xml version="1.0" encoding="utf-8"?>
<sst xmlns="http://schemas.openxmlformats.org/spreadsheetml/2006/main" count="2246" uniqueCount="785">
  <si>
    <t>Live weight gain (LWG)</t>
  </si>
  <si>
    <t>LC and FA</t>
  </si>
  <si>
    <t>Choose your region in Australia</t>
  </si>
  <si>
    <t>Milk Intake</t>
  </si>
  <si>
    <t>Bulls&gt;1</t>
  </si>
  <si>
    <t>Cows1 to 2</t>
  </si>
  <si>
    <t>Cows&gt;2</t>
  </si>
  <si>
    <t>Herd Information</t>
  </si>
  <si>
    <t>Emission factor</t>
  </si>
  <si>
    <t>Livestock Numbers</t>
  </si>
  <si>
    <t>litres/year</t>
  </si>
  <si>
    <t>KWh</t>
  </si>
  <si>
    <t>Annual Diesel Consumption</t>
  </si>
  <si>
    <t>CO</t>
  </si>
  <si>
    <t>NMVOC</t>
  </si>
  <si>
    <t>Outputs</t>
  </si>
  <si>
    <t>Energy - Fuel and Electricity</t>
  </si>
  <si>
    <t>Farm Name</t>
  </si>
  <si>
    <t>Area cropped</t>
  </si>
  <si>
    <t>Area Improved Pasture</t>
  </si>
  <si>
    <t>ha</t>
  </si>
  <si>
    <t>Power Source</t>
  </si>
  <si>
    <t>kg N/ year</t>
  </si>
  <si>
    <t>Summary</t>
  </si>
  <si>
    <t>Spring</t>
  </si>
  <si>
    <t>Summer</t>
  </si>
  <si>
    <t>Autumn</t>
  </si>
  <si>
    <t>Winter</t>
  </si>
  <si>
    <t>Average</t>
  </si>
  <si>
    <t>Feed Intake (I)</t>
  </si>
  <si>
    <t>High</t>
  </si>
  <si>
    <t>Low</t>
  </si>
  <si>
    <t>Rainfall</t>
  </si>
  <si>
    <t>Liveweight</t>
  </si>
  <si>
    <t>Annual Electricity Use</t>
  </si>
  <si>
    <t>Net Farm Emissions</t>
  </si>
  <si>
    <t>Total</t>
  </si>
  <si>
    <t>Live weight gain</t>
  </si>
  <si>
    <t>%</t>
  </si>
  <si>
    <t>Crude Protein</t>
  </si>
  <si>
    <t>kg/head/day</t>
  </si>
  <si>
    <t>Methane emissions from rumen fermentation</t>
  </si>
  <si>
    <t>Enter your farm data for each animal class and season</t>
  </si>
  <si>
    <t>Bulls &gt;1</t>
  </si>
  <si>
    <t>Bulls&lt;1</t>
  </si>
  <si>
    <t>Steers&lt;1</t>
  </si>
  <si>
    <t>Cows 1 to 2</t>
  </si>
  <si>
    <t>Cows &gt;2</t>
  </si>
  <si>
    <t>Cows&lt;1</t>
  </si>
  <si>
    <t>Steers&gt;1</t>
  </si>
  <si>
    <t>State</t>
  </si>
  <si>
    <t>Region</t>
  </si>
  <si>
    <t>NSW/ACT</t>
  </si>
  <si>
    <t>SA</t>
  </si>
  <si>
    <t>NT</t>
  </si>
  <si>
    <t>Units</t>
  </si>
  <si>
    <t>Data Input</t>
  </si>
  <si>
    <t>Methane Calculation</t>
  </si>
  <si>
    <t>MA = (LC x FA)  + ((1-LC) x 1)</t>
  </si>
  <si>
    <t>Temperate/tropical</t>
  </si>
  <si>
    <t>Nitrogen Fertiliser Pasture</t>
  </si>
  <si>
    <t>Nitrogen Fertiliser Crops</t>
  </si>
  <si>
    <t>N Fertiliser Pastures</t>
  </si>
  <si>
    <t>Grand total</t>
  </si>
  <si>
    <t>Methane emissions from manure in the field</t>
  </si>
  <si>
    <r>
      <t>CO</t>
    </r>
    <r>
      <rPr>
        <vertAlign val="subscript"/>
        <sz val="11"/>
        <rFont val="Times New Roman"/>
        <family val="1"/>
      </rPr>
      <t>2</t>
    </r>
  </si>
  <si>
    <r>
      <t>CH</t>
    </r>
    <r>
      <rPr>
        <vertAlign val="subscript"/>
        <sz val="11"/>
        <rFont val="Times New Roman"/>
        <family val="1"/>
      </rPr>
      <t>4</t>
    </r>
    <r>
      <rPr>
        <sz val="11"/>
        <rFont val="Times New Roman"/>
        <family val="1"/>
      </rPr>
      <t xml:space="preserve"> - Enteric</t>
    </r>
  </si>
  <si>
    <r>
      <t>CH</t>
    </r>
    <r>
      <rPr>
        <vertAlign val="subscript"/>
        <sz val="11"/>
        <rFont val="Times New Roman"/>
        <family val="1"/>
      </rPr>
      <t>4</t>
    </r>
  </si>
  <si>
    <r>
      <t>N</t>
    </r>
    <r>
      <rPr>
        <vertAlign val="subscript"/>
        <sz val="11"/>
        <rFont val="Times New Roman"/>
        <family val="1"/>
      </rPr>
      <t>2</t>
    </r>
    <r>
      <rPr>
        <sz val="11"/>
        <rFont val="Times New Roman"/>
        <family val="1"/>
      </rPr>
      <t>O</t>
    </r>
  </si>
  <si>
    <t>head</t>
  </si>
  <si>
    <t>kg</t>
  </si>
  <si>
    <t>kg/day</t>
  </si>
  <si>
    <t>Seasons</t>
  </si>
  <si>
    <t xml:space="preserve">Liveweight </t>
  </si>
  <si>
    <t>4A.1b_1</t>
  </si>
  <si>
    <t>kg DM/head/day</t>
  </si>
  <si>
    <t>Additional intake for milk production (MA)</t>
  </si>
  <si>
    <t>4A.1b_2</t>
  </si>
  <si>
    <t>LC = proportions of cows &gt; 2 lactating</t>
  </si>
  <si>
    <t>FA = feed adjustment</t>
  </si>
  <si>
    <t>Appendix 6.B.5</t>
  </si>
  <si>
    <t>Proportion of cows (LC)</t>
  </si>
  <si>
    <t>Feed adjustment (FA)</t>
  </si>
  <si>
    <t>kg CH4/head/day</t>
  </si>
  <si>
    <t xml:space="preserve">Daily Methane Yield </t>
  </si>
  <si>
    <t>4A.1b_8</t>
  </si>
  <si>
    <r>
      <t xml:space="preserve">E = </t>
    </r>
    <r>
      <rPr>
        <b/>
        <sz val="12"/>
        <rFont val="Times New Roman"/>
        <family val="1"/>
      </rPr>
      <t>(91.25 x N</t>
    </r>
    <r>
      <rPr>
        <b/>
        <vertAlign val="subscript"/>
        <sz val="12"/>
        <rFont val="Times New Roman"/>
        <family val="1"/>
      </rPr>
      <t>ijkl</t>
    </r>
    <r>
      <rPr>
        <b/>
        <sz val="12"/>
        <rFont val="Times New Roman"/>
        <family val="1"/>
      </rPr>
      <t xml:space="preserve"> x M</t>
    </r>
    <r>
      <rPr>
        <b/>
        <vertAlign val="subscript"/>
        <sz val="12"/>
        <rFont val="Times New Roman"/>
        <family val="1"/>
      </rPr>
      <t>ijkl</t>
    </r>
    <r>
      <rPr>
        <b/>
        <sz val="12"/>
        <rFont val="Times New Roman"/>
        <family val="1"/>
      </rPr>
      <t xml:space="preserve"> ) x 10</t>
    </r>
    <r>
      <rPr>
        <b/>
        <vertAlign val="superscript"/>
        <sz val="12"/>
        <rFont val="Times New Roman"/>
        <family val="1"/>
      </rPr>
      <t>-6</t>
    </r>
  </si>
  <si>
    <t>Gg CH4/farm/season</t>
  </si>
  <si>
    <t>Gg CH4/farm/year</t>
  </si>
  <si>
    <t>Gg CO2-e/farm/year</t>
  </si>
  <si>
    <t>t CO2-e/farm/year</t>
  </si>
  <si>
    <t>Methane production from manure</t>
  </si>
  <si>
    <t>Total CH4 production</t>
  </si>
  <si>
    <t>Total CH4 emissions from manure of free-range beef cattle</t>
  </si>
  <si>
    <t>E = (N x M x 91.25) x 10^-6</t>
  </si>
  <si>
    <t>4B.1b_1</t>
  </si>
  <si>
    <t>4B.1b_2</t>
  </si>
  <si>
    <t>Data input</t>
  </si>
  <si>
    <t>Crude protein (CP) content of feed</t>
  </si>
  <si>
    <t>Faecal nitrous oxide calculation</t>
  </si>
  <si>
    <t>4B.1b_3</t>
  </si>
  <si>
    <t>CPI = I x CP + (0.032 x MC)</t>
  </si>
  <si>
    <t>Crude protein intake (CPI) of beef cattle</t>
  </si>
  <si>
    <t>Nitrogen excreted in faeces (F)</t>
  </si>
  <si>
    <t>4B.1b_4</t>
  </si>
  <si>
    <t>ME from DMD</t>
  </si>
  <si>
    <t>MJ/kg DM</t>
  </si>
  <si>
    <t>F = {0.3 x (CPI x (1 - [(DMD + 10) / 100])) + 0.105 x (ME x I x 0.008) + 0.08 x (0.032 x MC) + (0.0152 x I)} / 6.25</t>
  </si>
  <si>
    <t>Nitrogen Retained by the body (NR)</t>
  </si>
  <si>
    <t>NR = {(0.032 x MP) + {0.212 - 0.008 x (L - 2) - [(0.140 - 0.008 x (L - 2)) / (1 + exp x (-6 x (Z -0.4)))]} x (LWG x 0.92)} / 6.25</t>
  </si>
  <si>
    <t>4B.1b_5</t>
  </si>
  <si>
    <t>Milk production (MP)</t>
  </si>
  <si>
    <t>Relative size (Z)</t>
  </si>
  <si>
    <t>Table 6.B.6</t>
  </si>
  <si>
    <t>Nitrogen excreted in urine (U)</t>
  </si>
  <si>
    <t>4B.1B_6</t>
  </si>
  <si>
    <t>U = (CPI / 6.25) - NR - F - [(1.1 x 10^-4 x W^0.75) / 6.25]</t>
  </si>
  <si>
    <t xml:space="preserve">Total seasonal faecal (AF) nitrogen excreted </t>
  </si>
  <si>
    <t>AF = ∑ (91.25 x N x F) x 10^-6</t>
  </si>
  <si>
    <t>Total seasonal urinary (AU) nitrogen excreted</t>
  </si>
  <si>
    <t>AU = ∑ (91.25 x N x U) x 10^-6</t>
  </si>
  <si>
    <t>Gg/farm/season</t>
  </si>
  <si>
    <t>Factor to convert elemental mass of N2O to molecular mass (Cg)</t>
  </si>
  <si>
    <t>Gg N2O/farm/season</t>
  </si>
  <si>
    <t>4B.1b_7a</t>
  </si>
  <si>
    <t>4B.1b_7b</t>
  </si>
  <si>
    <t>Gg N2O/farm/year</t>
  </si>
  <si>
    <t>Nitrous Oxide production from different manure management systems (MMS)</t>
  </si>
  <si>
    <t>Nitrous Oxide production from agricultural soils</t>
  </si>
  <si>
    <t>N2O emissions from synthetic fertiliser</t>
  </si>
  <si>
    <t>kg N/season</t>
  </si>
  <si>
    <t>Mass of fertiliser appplied (M)</t>
  </si>
  <si>
    <t>M = TM x FN</t>
  </si>
  <si>
    <t>TM = total mass of fertiliser</t>
  </si>
  <si>
    <t>FN = fraction of N applied to production system</t>
  </si>
  <si>
    <t>4D1_1</t>
  </si>
  <si>
    <t>Appendix 6.H.1</t>
  </si>
  <si>
    <t>N Fertiliser crops</t>
  </si>
  <si>
    <t>Gg N/season</t>
  </si>
  <si>
    <t>Annual N2O emissions from the addition of synthetic fertiliser (E)</t>
  </si>
  <si>
    <t>E = (M x EF x Cg)</t>
  </si>
  <si>
    <t>4D1_2</t>
  </si>
  <si>
    <t>Gg N2O-N/Gg N</t>
  </si>
  <si>
    <t>Table 6.22</t>
  </si>
  <si>
    <t>Production system</t>
  </si>
  <si>
    <t>Irrigated pasture</t>
  </si>
  <si>
    <t>Irrigated crop</t>
  </si>
  <si>
    <t>Non-irrigated pasture</t>
  </si>
  <si>
    <t>Non-irrigated crop</t>
  </si>
  <si>
    <t>Gg N</t>
  </si>
  <si>
    <t>E = M x EF x Cg</t>
  </si>
  <si>
    <t>Proportion of cows lactating</t>
  </si>
  <si>
    <t>4D2_3</t>
  </si>
  <si>
    <t>M = TM x FracGASF</t>
  </si>
  <si>
    <t>4D3_1</t>
  </si>
  <si>
    <t>Gg N/Gg applied</t>
  </si>
  <si>
    <t>Annual N2O production from atmospheric deposition (indirect ammonia)</t>
  </si>
  <si>
    <t>Leaching of organic nitrogen and subsequent denitrification in rivers and estuaries</t>
  </si>
  <si>
    <t>The mass of fertiliser N applied to soils that is lost through leaching and runoff (M)</t>
  </si>
  <si>
    <t>M = M x FracWET x FracLEACH</t>
  </si>
  <si>
    <t>4D3_5</t>
  </si>
  <si>
    <t>M = mass of fertiliser in each production system</t>
  </si>
  <si>
    <t>Appendix 6.J.1</t>
  </si>
  <si>
    <t>FracWET  (fraction of N available for leaching and runoff)</t>
  </si>
  <si>
    <t>FracLEACH</t>
  </si>
  <si>
    <t>N Fertiliser Pastures TM</t>
  </si>
  <si>
    <t>Nitrogen fertiliser crops TM</t>
  </si>
  <si>
    <t>Total N2O production from leaching and runoff</t>
  </si>
  <si>
    <t>4D3_7</t>
  </si>
  <si>
    <t>kWh</t>
  </si>
  <si>
    <t>CO2 emissions from diesel use</t>
  </si>
  <si>
    <t>CH4</t>
  </si>
  <si>
    <t>N2O</t>
  </si>
  <si>
    <t>t CO2-e</t>
  </si>
  <si>
    <t>Note no input can be made from this page - to input your data go to the Data Input tab</t>
  </si>
  <si>
    <t>Farm name:</t>
  </si>
  <si>
    <t>Beef Grazing  - Greenhouse Accounting Framework</t>
  </si>
  <si>
    <t>SW WA</t>
  </si>
  <si>
    <r>
      <t>t CO</t>
    </r>
    <r>
      <rPr>
        <b/>
        <vertAlign val="subscript"/>
        <sz val="11"/>
        <rFont val="Times New Roman"/>
        <family val="1"/>
      </rPr>
      <t>2</t>
    </r>
    <r>
      <rPr>
        <b/>
        <sz val="11"/>
        <rFont val="Times New Roman"/>
        <family val="1"/>
      </rPr>
      <t>e/farm</t>
    </r>
  </si>
  <si>
    <t>Crude Protein (CP)</t>
  </si>
  <si>
    <t>Dry matter digestibility (DMD)</t>
  </si>
  <si>
    <t xml:space="preserve">Dry matter digestibility (DMD) </t>
  </si>
  <si>
    <t>Liveweight gain (LWG)</t>
  </si>
  <si>
    <t>kg/head</t>
  </si>
  <si>
    <t>kg N/ha</t>
  </si>
  <si>
    <t>Inventory reference</t>
  </si>
  <si>
    <t xml:space="preserve">Livestock numbers </t>
  </si>
  <si>
    <t>Livestock numbers</t>
  </si>
  <si>
    <t>Dry matter digestibility</t>
  </si>
  <si>
    <t>Years</t>
  </si>
  <si>
    <t>NB! See notes on cells</t>
  </si>
  <si>
    <t>Milk - Spring/winter</t>
  </si>
  <si>
    <t>-Summer/Autumn</t>
  </si>
  <si>
    <t>Revised Reference</t>
  </si>
  <si>
    <t>3A.1b_1</t>
  </si>
  <si>
    <t>3A.1b_2</t>
  </si>
  <si>
    <t>3A.1b_3</t>
  </si>
  <si>
    <t>New</t>
  </si>
  <si>
    <t>3A.1b_5</t>
  </si>
  <si>
    <t>M = I x (1 - DMD) x ((PW x EFW) + (PT X EFT))</t>
  </si>
  <si>
    <t>Revised reference</t>
  </si>
  <si>
    <t>3B.1b_3</t>
  </si>
  <si>
    <t>3B.1b_1</t>
  </si>
  <si>
    <t>Comment</t>
  </si>
  <si>
    <t>Amended</t>
  </si>
  <si>
    <t>New Equation</t>
  </si>
  <si>
    <t>Is your property north of the Tropic of Capricorn?</t>
  </si>
  <si>
    <t>Warm (EFW)</t>
  </si>
  <si>
    <t>Methane emission factor</t>
  </si>
  <si>
    <t>Temperate (EFT)</t>
  </si>
  <si>
    <t>Proportion of animals in warm climate</t>
  </si>
  <si>
    <t>Proportion of animals in temperate climate</t>
  </si>
  <si>
    <t>3B.1b_5</t>
  </si>
  <si>
    <t>3B.1b_4</t>
  </si>
  <si>
    <t>Intake relative to maintenance (L)</t>
  </si>
  <si>
    <t>L = I / (1.185 + 0.00454 x W - 0.0000026 W^2 + (0.315 x 0))^2</t>
  </si>
  <si>
    <t>4A.1b_4</t>
  </si>
  <si>
    <t>From previous NGGI</t>
  </si>
  <si>
    <t>Table 5.B.6</t>
  </si>
  <si>
    <t>3B.1b_6</t>
  </si>
  <si>
    <t>3B.1b7a</t>
  </si>
  <si>
    <t>3B.1b_7b</t>
  </si>
  <si>
    <t>3DA_1</t>
  </si>
  <si>
    <t>3DA_2</t>
  </si>
  <si>
    <t>EF</t>
  </si>
  <si>
    <t>Cg</t>
  </si>
  <si>
    <t>3DA_5</t>
  </si>
  <si>
    <t>Conversion Factor</t>
  </si>
  <si>
    <t>Ha</t>
  </si>
  <si>
    <t>3DA_6</t>
  </si>
  <si>
    <t>E = (AF x EF x Cg) + (AU x EF x Cg)</t>
  </si>
  <si>
    <t>Urine and Dung Deposited during Grazing</t>
  </si>
  <si>
    <t>3DB_1</t>
  </si>
  <si>
    <t>3DB_4</t>
  </si>
  <si>
    <t>Atmospheric nitrogen deposition Inorganic Fertiliser</t>
  </si>
  <si>
    <t>Atmospheric nitrogen deposition Sewage Sludge</t>
  </si>
  <si>
    <t>FracGASF</t>
  </si>
  <si>
    <t>3DB_5</t>
  </si>
  <si>
    <t>Fraction</t>
  </si>
  <si>
    <t>The mass of sewage N applied to soils that is lost through leaching and runoff (M)</t>
  </si>
  <si>
    <t>Sewage Sludge applied to Crops TM</t>
  </si>
  <si>
    <t>Sewage Sludge applied to Pastures TM</t>
  </si>
  <si>
    <t>3DB_3</t>
  </si>
  <si>
    <t>3DB_7</t>
  </si>
  <si>
    <t>Savannah Burning</t>
  </si>
  <si>
    <t>Vegetation class (j)</t>
  </si>
  <si>
    <t>Yo</t>
  </si>
  <si>
    <t>L</t>
  </si>
  <si>
    <t>D</t>
  </si>
  <si>
    <t xml:space="preserve">Gc </t>
  </si>
  <si>
    <t>Shrubland hummock</t>
  </si>
  <si>
    <t>Woodland Hummock</t>
  </si>
  <si>
    <t>Melaleuca woodland</t>
  </si>
  <si>
    <t>Woodland Mixed</t>
  </si>
  <si>
    <t>Open forest mixed</t>
  </si>
  <si>
    <t>Shrubland (heath) with hummock grass</t>
  </si>
  <si>
    <t>Woodland with hummock grass</t>
  </si>
  <si>
    <t>Open woodland with mixed grass</t>
  </si>
  <si>
    <t>Woodland with mixed grass</t>
  </si>
  <si>
    <t>Woodland with tussock grass</t>
  </si>
  <si>
    <t>Vegetation Class</t>
  </si>
  <si>
    <t>Rainfall Zone</t>
  </si>
  <si>
    <t>Residue Remaining after burning</t>
  </si>
  <si>
    <t>Value</t>
  </si>
  <si>
    <t>Combined Reference</t>
  </si>
  <si>
    <t xml:space="preserve">Combined Ref </t>
  </si>
  <si>
    <t>Annual Rate of fresh litter input</t>
  </si>
  <si>
    <t>Decay Constant</t>
  </si>
  <si>
    <t>Grass Biomass</t>
  </si>
  <si>
    <t>Table 5.K.1 Fine Fuel - Fuel accumulation model parametres</t>
  </si>
  <si>
    <t>Time since last fire</t>
  </si>
  <si>
    <t>State Ref</t>
  </si>
  <si>
    <t>State Reference</t>
  </si>
  <si>
    <t>t/ha</t>
  </si>
  <si>
    <t>Fine Fuel Load</t>
  </si>
  <si>
    <t>Table 5.K.2 Course Fuel - Fuel accumulation model parametres</t>
  </si>
  <si>
    <t>FL = (L/D) x (1 - (1 - (D x Y) e ^ -Dt))</t>
  </si>
  <si>
    <t>FL = ( L/D) x (1 - (1 - (D x Y) e ^-Dt)) X Gc</t>
  </si>
  <si>
    <t>Course Fuel Load</t>
  </si>
  <si>
    <t>3E_1</t>
  </si>
  <si>
    <t>3E_2</t>
  </si>
  <si>
    <t>Patchiness</t>
  </si>
  <si>
    <t>Fire Season</t>
  </si>
  <si>
    <t xml:space="preserve">EDSHigh </t>
  </si>
  <si>
    <t>LDSHigh</t>
  </si>
  <si>
    <t>EDSLow</t>
  </si>
  <si>
    <t>LDSLow</t>
  </si>
  <si>
    <t>Completeness of Combustion</t>
  </si>
  <si>
    <t>Fine</t>
  </si>
  <si>
    <t>Coarse</t>
  </si>
  <si>
    <t>Table 5.K.6: Completeness of combustion (CEF)</t>
  </si>
  <si>
    <t>Fuel Class Size</t>
  </si>
  <si>
    <t>M = AB x FL x P x CEF x 10^-3</t>
  </si>
  <si>
    <t>3E_3</t>
  </si>
  <si>
    <t>Fire Scar Area</t>
  </si>
  <si>
    <t>Methane</t>
  </si>
  <si>
    <t>E = M x CC x EF x Cg</t>
  </si>
  <si>
    <t>Molecular Mass Conversion Factor</t>
  </si>
  <si>
    <t>Carbon Mass Fraction</t>
  </si>
  <si>
    <t>Table 5.K.7: Carbon Mass Fraction Burnt in Fuel Burnt (C)</t>
  </si>
  <si>
    <t>Fine Fuel Carbon Content</t>
  </si>
  <si>
    <t>Course Fuel Carbon Content</t>
  </si>
  <si>
    <t>Table 5‑35: CH4 Emission Factors (Gg CH4-C/Gg C)</t>
  </si>
  <si>
    <t>Emission Factor Fine Fuels</t>
  </si>
  <si>
    <t>Emission Factor Course Fuels</t>
  </si>
  <si>
    <t>Mass of Fine Fuel Burnt in fire</t>
  </si>
  <si>
    <t>Mass of Course Fuel Burnt in Fire</t>
  </si>
  <si>
    <t>Emissions Fine Fuel</t>
  </si>
  <si>
    <t>Emissions Course Fuels</t>
  </si>
  <si>
    <t>Total Methane Emissions (CH4)</t>
  </si>
  <si>
    <t>3E_4</t>
  </si>
  <si>
    <t>Table 5‑36: N2O Emission Factors (Gg N2O-N/Gg N)</t>
  </si>
  <si>
    <t>Table 5.K.8: Nitrogen to Carbon Ratio in Fuel Burnt (NC)</t>
  </si>
  <si>
    <t>E = M x CC x NC x EF x Cg</t>
  </si>
  <si>
    <t>3E_5</t>
  </si>
  <si>
    <t>Total N2O Emissions</t>
  </si>
  <si>
    <t>Total Emissions CO2-e</t>
  </si>
  <si>
    <t>Gg</t>
  </si>
  <si>
    <t>Gg CH4</t>
  </si>
  <si>
    <t>Gg CO2-e</t>
  </si>
  <si>
    <t>Gg N2O</t>
  </si>
  <si>
    <t>t</t>
  </si>
  <si>
    <t>Liming</t>
  </si>
  <si>
    <t>Fraction of Limestone</t>
  </si>
  <si>
    <t>Fraction Purity of limestone</t>
  </si>
  <si>
    <t>Fractional Purity of Dolomite</t>
  </si>
  <si>
    <t>EF for Limestone</t>
  </si>
  <si>
    <t>EF for Dolomite</t>
  </si>
  <si>
    <t>E = ((M x FracLime x P X EF) + (M x (1-FracLime) x P x EF)) x Cg/1000</t>
  </si>
  <si>
    <t>Mass of limestone applied to soils (t)</t>
  </si>
  <si>
    <t>CO2 emissions from Lime</t>
  </si>
  <si>
    <t>3G_1</t>
  </si>
  <si>
    <t>Is your property in orange zone? (Ref Map. 1)</t>
  </si>
  <si>
    <t>Map 1. The ratio of mean annual evapotranspiration to annual precipitation (Et/P)</t>
  </si>
  <si>
    <t>Patichiness</t>
  </si>
  <si>
    <t>(High/Low)</t>
  </si>
  <si>
    <t>Years since fire</t>
  </si>
  <si>
    <t>Limestone applied to soils</t>
  </si>
  <si>
    <t>Total for farm</t>
  </si>
  <si>
    <t>Energy</t>
  </si>
  <si>
    <t>Electricity Source</t>
  </si>
  <si>
    <t>Map 2. Vegetation Classes</t>
  </si>
  <si>
    <t xml:space="preserve">Fuel </t>
  </si>
  <si>
    <t>Course</t>
  </si>
  <si>
    <t>Vegetation class code (j)</t>
  </si>
  <si>
    <t>Early Dry Season</t>
  </si>
  <si>
    <t>Late Dry Season</t>
  </si>
  <si>
    <t>Rain Zn</t>
  </si>
  <si>
    <t>Veg Code</t>
  </si>
  <si>
    <t>Reference</t>
  </si>
  <si>
    <t>Data Input Reference</t>
  </si>
  <si>
    <t>Fire season/Patichness Reference</t>
  </si>
  <si>
    <t>Patchiness Value</t>
  </si>
  <si>
    <t>Vegetation</t>
  </si>
  <si>
    <t>Table 5.K.5 Patchiness - Fraction of scar area that is burnt</t>
  </si>
  <si>
    <t>Patchiness Combined Reference</t>
  </si>
  <si>
    <t>CEF Combined Reference</t>
  </si>
  <si>
    <t xml:space="preserve">Vegetation </t>
  </si>
  <si>
    <t xml:space="preserve">Vegetation Class </t>
  </si>
  <si>
    <t xml:space="preserve">Reference Description </t>
  </si>
  <si>
    <t>Location of Farm</t>
  </si>
  <si>
    <t>North of Tropic of Capricorn</t>
  </si>
  <si>
    <t>South of Tropic of Capricorn</t>
  </si>
  <si>
    <t>Yes</t>
  </si>
  <si>
    <t>No</t>
  </si>
  <si>
    <t>Tropic of Capricorn Input</t>
  </si>
  <si>
    <t>FractWet Input</t>
  </si>
  <si>
    <t>FracWet Multiplier</t>
  </si>
  <si>
    <t>M = (20.7 x I)/1000</t>
  </si>
  <si>
    <t>Gas</t>
  </si>
  <si>
    <t>CO2-e</t>
  </si>
  <si>
    <t>CO2</t>
  </si>
  <si>
    <t>CF4</t>
  </si>
  <si>
    <t>C2F6</t>
  </si>
  <si>
    <t>SF6</t>
  </si>
  <si>
    <t>NF3</t>
  </si>
  <si>
    <t>Nox</t>
  </si>
  <si>
    <t>Nitrous oxide calculation</t>
  </si>
  <si>
    <t>CO2 Lime</t>
  </si>
  <si>
    <t>t/farm</t>
  </si>
  <si>
    <r>
      <t>CH</t>
    </r>
    <r>
      <rPr>
        <vertAlign val="subscript"/>
        <sz val="11"/>
        <rFont val="Times New Roman"/>
        <family val="1"/>
      </rPr>
      <t>4</t>
    </r>
    <r>
      <rPr>
        <sz val="11"/>
        <rFont val="Times New Roman"/>
        <family val="1"/>
      </rPr>
      <t xml:space="preserve"> - Savannah Burning</t>
    </r>
  </si>
  <si>
    <t>Revised Inventory Reference</t>
  </si>
  <si>
    <t>t CO2</t>
  </si>
  <si>
    <t>Annual Gas Consumption</t>
  </si>
  <si>
    <t>Emission Factor (LPG)</t>
  </si>
  <si>
    <t>Diesel</t>
  </si>
  <si>
    <t>Annual Gas Consumption (LPG)</t>
  </si>
  <si>
    <t>CO2-e emissions from gas use</t>
  </si>
  <si>
    <t>Electricity</t>
  </si>
  <si>
    <t>Black Coal</t>
  </si>
  <si>
    <t>Tas</t>
  </si>
  <si>
    <t>Vic</t>
  </si>
  <si>
    <t>Renewables</t>
  </si>
  <si>
    <t>Brown Coal</t>
  </si>
  <si>
    <t>Black coal</t>
  </si>
  <si>
    <t>Brown coal</t>
  </si>
  <si>
    <t>Annual electricity use (kWh)</t>
  </si>
  <si>
    <t>Proportion of Electricty Source</t>
  </si>
  <si>
    <t>Fuel Type</t>
  </si>
  <si>
    <t>Annual electricity use (MWh)</t>
  </si>
  <si>
    <t>MWh</t>
  </si>
  <si>
    <t>Ref</t>
  </si>
  <si>
    <r>
      <t>CO</t>
    </r>
    <r>
      <rPr>
        <vertAlign val="subscript"/>
        <sz val="11"/>
        <rFont val="Times New Roman"/>
        <family val="1"/>
      </rPr>
      <t>2</t>
    </r>
    <r>
      <rPr>
        <sz val="11"/>
        <rFont val="Times New Roman"/>
        <family val="1"/>
      </rPr>
      <t xml:space="preserve"> - Transport</t>
    </r>
  </si>
  <si>
    <t>Transport</t>
  </si>
  <si>
    <t>State Grid</t>
  </si>
  <si>
    <t>Renewable</t>
  </si>
  <si>
    <t>Electricity Reference</t>
  </si>
  <si>
    <t>Kilometres Transported</t>
  </si>
  <si>
    <t>kms</t>
  </si>
  <si>
    <t>Type of Vehicle</t>
  </si>
  <si>
    <t>4 Deck Trailer</t>
  </si>
  <si>
    <t>6 Deck Trailer</t>
  </si>
  <si>
    <t>Distance cattle transported to farm</t>
  </si>
  <si>
    <t xml:space="preserve">Type of Truck used </t>
  </si>
  <si>
    <t>Trailer</t>
  </si>
  <si>
    <t>B-Double</t>
  </si>
  <si>
    <t>Fuel Usage</t>
  </si>
  <si>
    <t>Vehicle Reference</t>
  </si>
  <si>
    <t>l/km</t>
  </si>
  <si>
    <t>Fuel Usage Reference</t>
  </si>
  <si>
    <t>Q =  Quantity of fuel type combusted for transport</t>
  </si>
  <si>
    <t>EC = Energy content factor of fuel type</t>
  </si>
  <si>
    <t>EF = Emission factor for each gas type</t>
  </si>
  <si>
    <t>E = (Q x EC x EF)/1000</t>
  </si>
  <si>
    <t>Quantity</t>
  </si>
  <si>
    <t>Diesel fuel</t>
  </si>
  <si>
    <t>Energy Content Factor</t>
  </si>
  <si>
    <t>GJ/kL</t>
  </si>
  <si>
    <t>CO2 Emissions from Diesel</t>
  </si>
  <si>
    <t>Department of the Environment 2014</t>
  </si>
  <si>
    <t>CO2 Emissions Factor</t>
  </si>
  <si>
    <t>CH4 Emissions Factor</t>
  </si>
  <si>
    <t>kg CO2-e/GJ</t>
  </si>
  <si>
    <t>N2O Emissions Factor</t>
  </si>
  <si>
    <t>kL</t>
  </si>
  <si>
    <t>CH4 Emissions from Diesel</t>
  </si>
  <si>
    <t>N2O Emissions from Diesel</t>
  </si>
  <si>
    <t>t CO2 e</t>
  </si>
  <si>
    <t>E = Emissions of gas type from fuel type</t>
  </si>
  <si>
    <r>
      <t>CH</t>
    </r>
    <r>
      <rPr>
        <vertAlign val="subscript"/>
        <sz val="11"/>
        <rFont val="Times New Roman"/>
        <family val="1"/>
      </rPr>
      <t>4</t>
    </r>
    <r>
      <rPr>
        <sz val="11"/>
        <rFont val="Times New Roman"/>
        <family val="1"/>
      </rPr>
      <t xml:space="preserve"> - Transport</t>
    </r>
  </si>
  <si>
    <r>
      <t>N</t>
    </r>
    <r>
      <rPr>
        <vertAlign val="subscript"/>
        <sz val="11"/>
        <rFont val="Times New Roman"/>
        <family val="1"/>
      </rPr>
      <t>2</t>
    </r>
    <r>
      <rPr>
        <sz val="11"/>
        <rFont val="Times New Roman"/>
        <family val="1"/>
      </rPr>
      <t>O - Transport</t>
    </r>
  </si>
  <si>
    <t>t CO2e</t>
  </si>
  <si>
    <t>Total CO2 Emissions Energy</t>
  </si>
  <si>
    <t>Non CO2 emissions from Diesel</t>
  </si>
  <si>
    <t>Annual diesel consumption</t>
  </si>
  <si>
    <t>t CO2/year</t>
  </si>
  <si>
    <r>
      <t>CH</t>
    </r>
    <r>
      <rPr>
        <vertAlign val="subscript"/>
        <sz val="11"/>
        <rFont val="Times New Roman"/>
        <family val="1"/>
      </rPr>
      <t>4</t>
    </r>
    <r>
      <rPr>
        <sz val="11"/>
        <rFont val="Times New Roman"/>
        <family val="1"/>
      </rPr>
      <t xml:space="preserve"> - Energy</t>
    </r>
  </si>
  <si>
    <r>
      <t>N</t>
    </r>
    <r>
      <rPr>
        <vertAlign val="subscript"/>
        <sz val="11"/>
        <rFont val="Times New Roman"/>
        <family val="1"/>
      </rPr>
      <t>2</t>
    </r>
    <r>
      <rPr>
        <sz val="11"/>
        <rFont val="Times New Roman"/>
        <family val="1"/>
      </rPr>
      <t>O - Energy</t>
    </r>
  </si>
  <si>
    <t>Non CO2 emissions from Natural Gas</t>
  </si>
  <si>
    <t>Total CH4 Emissions</t>
  </si>
  <si>
    <t>State/Region</t>
  </si>
  <si>
    <t>Sewage Sludge Applied to Crops</t>
  </si>
  <si>
    <t>Sewage Sludge Applied to Pasture</t>
  </si>
  <si>
    <t>Dryland</t>
  </si>
  <si>
    <t>Irrigated</t>
  </si>
  <si>
    <t>Non-Irrigated</t>
  </si>
  <si>
    <t>FN</t>
  </si>
  <si>
    <t>Annual N2O emissions from the addition of Sewage Sludge (E)</t>
  </si>
  <si>
    <t>Table 5.23</t>
  </si>
  <si>
    <t>M = TM x FracWET x FracLEACH</t>
  </si>
  <si>
    <t>M = TM x FracGASS</t>
  </si>
  <si>
    <t>Gg N/Gg Applied</t>
  </si>
  <si>
    <t>Synthetic Fertiliser</t>
  </si>
  <si>
    <t>Sewage Sludge</t>
  </si>
  <si>
    <t>Mass of Sewage Sludge appplied (M)</t>
  </si>
  <si>
    <t>Sewage Sludge Crops</t>
  </si>
  <si>
    <t>Sewage Sludge Pasture</t>
  </si>
  <si>
    <t>Total - Manure Enteric Emissions</t>
  </si>
  <si>
    <t>Australia’s thermal electricity generation capacity, 2009–10</t>
  </si>
  <si>
    <t>ACT</t>
  </si>
  <si>
    <t>Qld</t>
  </si>
  <si>
    <t>NT&amp;NW WA</t>
  </si>
  <si>
    <t>kL/year</t>
  </si>
  <si>
    <t xml:space="preserve">Table 3 (Dept of Environment 2015) </t>
  </si>
  <si>
    <t>NSW</t>
  </si>
  <si>
    <t>Steam Black Coal</t>
  </si>
  <si>
    <t>Energy Content (ECi)</t>
  </si>
  <si>
    <t>Steam Brown Coal</t>
  </si>
  <si>
    <t>Emission Factor (Diesel Oil)</t>
  </si>
  <si>
    <t>Steam Gas</t>
  </si>
  <si>
    <t>Steam Multi-fuel</t>
  </si>
  <si>
    <t>Eij = (Qi x ECi x Efijoxec)*10^-3</t>
  </si>
  <si>
    <t>Reciprocating Engine</t>
  </si>
  <si>
    <t>Eij = emissions of gas type</t>
  </si>
  <si>
    <t>tCO2</t>
  </si>
  <si>
    <t>Open Cycle Conventional Gas</t>
  </si>
  <si>
    <t>Qi =  quantity of fuel type</t>
  </si>
  <si>
    <t>kl</t>
  </si>
  <si>
    <t xml:space="preserve">2.3.1 (Dept of Environment 2015) </t>
  </si>
  <si>
    <t>Open Cycle Coal Seam Gas</t>
  </si>
  <si>
    <t>ECi = energy content factor of fuel type</t>
  </si>
  <si>
    <t>Gj/l</t>
  </si>
  <si>
    <t>NW WA</t>
  </si>
  <si>
    <t>Open Cycle Oil Products</t>
  </si>
  <si>
    <t>EFijoxec = emission factor</t>
  </si>
  <si>
    <t>kg CO2-e/Gj</t>
  </si>
  <si>
    <t>Selected State</t>
  </si>
  <si>
    <t>Open Cycle Multi-fuel</t>
  </si>
  <si>
    <t>Combined Conventional Gas</t>
  </si>
  <si>
    <t>Combined Coal Seam Gas</t>
  </si>
  <si>
    <t>Capacity of renewable electricity generation in Australia, 2010</t>
  </si>
  <si>
    <t>Weighted Average Emissions Intensity kg CO2/KWh</t>
  </si>
  <si>
    <t>Distillate/Liquid Fuel</t>
  </si>
  <si>
    <t>Hydro</t>
  </si>
  <si>
    <t>Wind</t>
  </si>
  <si>
    <t>Bioenergy</t>
  </si>
  <si>
    <t>Solar</t>
  </si>
  <si>
    <t>Solar Thermal</t>
  </si>
  <si>
    <t>Geothermal</t>
  </si>
  <si>
    <t>Wave</t>
  </si>
  <si>
    <t>Total Renewables</t>
  </si>
  <si>
    <t>Totals</t>
  </si>
  <si>
    <t>(Derived from ACIL ALLEN CONSULTING 2013, Tables 1&amp;2)</t>
  </si>
  <si>
    <t>Proportion of Electricity Generation</t>
  </si>
  <si>
    <t>Electricty Reference Multiplier</t>
  </si>
  <si>
    <t xml:space="preserve">Weighted Average Emissions </t>
  </si>
  <si>
    <t>Fraction of Supply</t>
  </si>
  <si>
    <t>Source: Department of Resources, Energy and Tourism and Bureau of Resources and Energy Economics (2012), Tables 10 and 15</t>
  </si>
  <si>
    <t>kg CO2/KWh</t>
  </si>
  <si>
    <t>(Derived from Department of Resources, Energy and Tourism and Bureau of Resources and Energy Economics (2012), Tables 10 and 15)</t>
  </si>
  <si>
    <t xml:space="preserve">Generator </t>
  </si>
  <si>
    <t xml:space="preserve">Fuel type </t>
  </si>
  <si>
    <t xml:space="preserve">Emissions Intensity </t>
  </si>
  <si>
    <t>Capacity</t>
  </si>
  <si>
    <t xml:space="preserve">(kg CO2-e/kWh </t>
  </si>
  <si>
    <t xml:space="preserve">(gross kW) </t>
  </si>
  <si>
    <t>Emissions from Electricity Generation</t>
  </si>
  <si>
    <t>sent-out)</t>
  </si>
  <si>
    <t>kg CO2</t>
  </si>
  <si>
    <t xml:space="preserve">AGL SF PV Broken Hill </t>
  </si>
  <si>
    <t xml:space="preserve">Solar </t>
  </si>
  <si>
    <t xml:space="preserve">AGL SF PV Nyngan </t>
  </si>
  <si>
    <t xml:space="preserve">Bayswater </t>
  </si>
  <si>
    <t xml:space="preserve">Black coal </t>
  </si>
  <si>
    <t xml:space="preserve">Bendeela Pumps </t>
  </si>
  <si>
    <t xml:space="preserve">n/a </t>
  </si>
  <si>
    <t>Renewable Energy</t>
  </si>
  <si>
    <t xml:space="preserve">Blowering </t>
  </si>
  <si>
    <t xml:space="preserve">Hydro </t>
  </si>
  <si>
    <t xml:space="preserve">Colongra </t>
  </si>
  <si>
    <t xml:space="preserve">Natural gas </t>
  </si>
  <si>
    <t>CO2-e emissions from electricity use</t>
  </si>
  <si>
    <t xml:space="preserve">Eraring </t>
  </si>
  <si>
    <t xml:space="preserve">Gunning Wind Farm </t>
  </si>
  <si>
    <t xml:space="preserve">Wind </t>
  </si>
  <si>
    <t xml:space="preserve">Guthega </t>
  </si>
  <si>
    <t xml:space="preserve">Hume NSW </t>
  </si>
  <si>
    <t xml:space="preserve">Hunter Valley GT </t>
  </si>
  <si>
    <t xml:space="preserve">Liquid fuel </t>
  </si>
  <si>
    <t xml:space="preserve">Liddell </t>
  </si>
  <si>
    <t xml:space="preserve">Mt Piper </t>
  </si>
  <si>
    <t xml:space="preserve">Munmorah a </t>
  </si>
  <si>
    <t>CH4 Emission Factor (Diesel Oil)</t>
  </si>
  <si>
    <t xml:space="preserve">Redbank </t>
  </si>
  <si>
    <t>N2O Emission Factor (Diesel Oil)</t>
  </si>
  <si>
    <t xml:space="preserve">Shoalhaven Bendeela </t>
  </si>
  <si>
    <t xml:space="preserve">Smithfield </t>
  </si>
  <si>
    <t xml:space="preserve">Tallawarra </t>
  </si>
  <si>
    <t>tCO2-e</t>
  </si>
  <si>
    <t xml:space="preserve">Tumut 1 </t>
  </si>
  <si>
    <t xml:space="preserve">Tumut 3 </t>
  </si>
  <si>
    <t>Gj/kL</t>
  </si>
  <si>
    <t xml:space="preserve">Tumut 3 Pumps </t>
  </si>
  <si>
    <t xml:space="preserve">Uranquinty </t>
  </si>
  <si>
    <t xml:space="preserve">Vales Point B </t>
  </si>
  <si>
    <t>CH4 emissions from diesel use</t>
  </si>
  <si>
    <t xml:space="preserve">Wallerawang C </t>
  </si>
  <si>
    <t>N2O emissions from diesel use</t>
  </si>
  <si>
    <t xml:space="preserve">Woodlawn Wind Farm </t>
  </si>
  <si>
    <t xml:space="preserve">Barcaldine </t>
  </si>
  <si>
    <t xml:space="preserve">Barron Gorge </t>
  </si>
  <si>
    <t xml:space="preserve">Braemar 1 </t>
  </si>
  <si>
    <t>Annual gas consumption</t>
  </si>
  <si>
    <t xml:space="preserve">Braemar 2 </t>
  </si>
  <si>
    <t xml:space="preserve">Callide B </t>
  </si>
  <si>
    <t>CH4 Emission Factor (Gas)</t>
  </si>
  <si>
    <t xml:space="preserve">Callide C </t>
  </si>
  <si>
    <t>N2O Emission Factor (Gas)</t>
  </si>
  <si>
    <t xml:space="preserve">Collinsville a </t>
  </si>
  <si>
    <t xml:space="preserve">Condamine </t>
  </si>
  <si>
    <t xml:space="preserve">Darling Downs </t>
  </si>
  <si>
    <t xml:space="preserve">Gladstone </t>
  </si>
  <si>
    <t xml:space="preserve">Kareeya </t>
  </si>
  <si>
    <t xml:space="preserve">Kogan Creek </t>
  </si>
  <si>
    <t xml:space="preserve">Mackay GT </t>
  </si>
  <si>
    <t xml:space="preserve">Millmerran </t>
  </si>
  <si>
    <t>CH4 emissions from gas use</t>
  </si>
  <si>
    <t xml:space="preserve">Mt Stuart </t>
  </si>
  <si>
    <t>N2O emissions from gas use</t>
  </si>
  <si>
    <t xml:space="preserve">Oakey </t>
  </si>
  <si>
    <t xml:space="preserve">Roma </t>
  </si>
  <si>
    <t xml:space="preserve">Stanwell </t>
  </si>
  <si>
    <t xml:space="preserve">Swanbank B a </t>
  </si>
  <si>
    <t xml:space="preserve">Swanbank E </t>
  </si>
  <si>
    <t>References</t>
  </si>
  <si>
    <t xml:space="preserve">Tarong </t>
  </si>
  <si>
    <t>ACIL Allen Consulting (2013), Electricity Sector Emissions - Modelling of the Australian Electricity Generation Sector:</t>
  </si>
  <si>
    <t xml:space="preserve">Tarong North </t>
  </si>
  <si>
    <t xml:space="preserve">Report to the Department Of Innovation, Industry, Climate Change, Science, Research and Tertiary Education, ACIL Allen Consulting </t>
  </si>
  <si>
    <t xml:space="preserve">Townsville </t>
  </si>
  <si>
    <t>Department of Environment (2015) National Greenhouse Gas Factors - Australian National Greenhouse Accounts, Commonwealth of Australia</t>
  </si>
  <si>
    <t xml:space="preserve">Wivenhoe </t>
  </si>
  <si>
    <t>Department of Resources, Energy and Tourism and Bureau of Resources and Energy Economics (2012) Energy in Australia 2012, Commonwealth of Australia</t>
  </si>
  <si>
    <t xml:space="preserve">Wivenhoe Pump </t>
  </si>
  <si>
    <t xml:space="preserve">Yarwun </t>
  </si>
  <si>
    <t xml:space="preserve">Angaston </t>
  </si>
  <si>
    <t xml:space="preserve">Bluff WF </t>
  </si>
  <si>
    <t xml:space="preserve">Clements Gap Wind Farm </t>
  </si>
  <si>
    <t xml:space="preserve">Dry Creek </t>
  </si>
  <si>
    <t xml:space="preserve">Hallett </t>
  </si>
  <si>
    <t xml:space="preserve">Hallett 2 Wind Farm </t>
  </si>
  <si>
    <t xml:space="preserve">Hallett Wind Farm </t>
  </si>
  <si>
    <t xml:space="preserve">Ladbroke Grove </t>
  </si>
  <si>
    <t xml:space="preserve">Lake Bonney 2 Wind Farm </t>
  </si>
  <si>
    <t xml:space="preserve">Lake Bonney 3 Wind Farm </t>
  </si>
  <si>
    <t xml:space="preserve">Mintaro </t>
  </si>
  <si>
    <t xml:space="preserve">North Brown Hill Wind Farm </t>
  </si>
  <si>
    <t xml:space="preserve">Northern </t>
  </si>
  <si>
    <t xml:space="preserve">Brown coal </t>
  </si>
  <si>
    <t xml:space="preserve">Osborne </t>
  </si>
  <si>
    <t xml:space="preserve">Pelican Point </t>
  </si>
  <si>
    <t xml:space="preserve">Playford B a </t>
  </si>
  <si>
    <t xml:space="preserve">Port Lincoln </t>
  </si>
  <si>
    <t xml:space="preserve">Quarantine </t>
  </si>
  <si>
    <t xml:space="preserve">Snowtown 2 Wind Farm </t>
  </si>
  <si>
    <t xml:space="preserve">Snowtown Wind Farm </t>
  </si>
  <si>
    <t xml:space="preserve">Snuggery </t>
  </si>
  <si>
    <t xml:space="preserve">Torrens Island A </t>
  </si>
  <si>
    <t xml:space="preserve">Torrens Island B </t>
  </si>
  <si>
    <t xml:space="preserve">Waterloo Wind Farm </t>
  </si>
  <si>
    <t xml:space="preserve">Bastyan </t>
  </si>
  <si>
    <t xml:space="preserve">Bell Bay </t>
  </si>
  <si>
    <t xml:space="preserve">Bell Bay Three </t>
  </si>
  <si>
    <t xml:space="preserve">Cethana </t>
  </si>
  <si>
    <t xml:space="preserve">Devils Gate </t>
  </si>
  <si>
    <t xml:space="preserve">Fisher </t>
  </si>
  <si>
    <t xml:space="preserve">Gordon </t>
  </si>
  <si>
    <t xml:space="preserve">John Butters </t>
  </si>
  <si>
    <t xml:space="preserve">Lake Echo </t>
  </si>
  <si>
    <t xml:space="preserve">Lemonthyme_Wilmot </t>
  </si>
  <si>
    <t xml:space="preserve">Liapootah_Wayatinah_Catagunya </t>
  </si>
  <si>
    <t xml:space="preserve">Mackintosh </t>
  </si>
  <si>
    <t xml:space="preserve">Meadowbank </t>
  </si>
  <si>
    <t xml:space="preserve">Musselroe Wind Farm </t>
  </si>
  <si>
    <t xml:space="preserve">Poatina </t>
  </si>
  <si>
    <t xml:space="preserve">Reece </t>
  </si>
  <si>
    <t xml:space="preserve">Tamar Valley </t>
  </si>
  <si>
    <t xml:space="preserve">Tamar Valley GT </t>
  </si>
  <si>
    <t xml:space="preserve">Tarraleah </t>
  </si>
  <si>
    <t xml:space="preserve">Trevallyn </t>
  </si>
  <si>
    <t xml:space="preserve">Tribute </t>
  </si>
  <si>
    <t xml:space="preserve">Tungatinah </t>
  </si>
  <si>
    <t xml:space="preserve">Anglesea </t>
  </si>
  <si>
    <t xml:space="preserve">Bairnsdale </t>
  </si>
  <si>
    <t xml:space="preserve">Dartmouth </t>
  </si>
  <si>
    <t xml:space="preserve">Eildon </t>
  </si>
  <si>
    <t xml:space="preserve">Energy Brix </t>
  </si>
  <si>
    <t xml:space="preserve">Hazelwood </t>
  </si>
  <si>
    <t xml:space="preserve">Hume VIC </t>
  </si>
  <si>
    <t xml:space="preserve">Jeeralang A </t>
  </si>
  <si>
    <t xml:space="preserve">Jeeralang B </t>
  </si>
  <si>
    <t xml:space="preserve">Laverton North </t>
  </si>
  <si>
    <t xml:space="preserve">Loy Yang A </t>
  </si>
  <si>
    <t xml:space="preserve">Loy Yang B </t>
  </si>
  <si>
    <t xml:space="preserve">Macarthur Wind Farm </t>
  </si>
  <si>
    <t xml:space="preserve">McKay </t>
  </si>
  <si>
    <t xml:space="preserve">Mortlake </t>
  </si>
  <si>
    <t xml:space="preserve">Mt Mercer Wind Farm </t>
  </si>
  <si>
    <t xml:space="preserve">Murray </t>
  </si>
  <si>
    <t xml:space="preserve">Newport </t>
  </si>
  <si>
    <t xml:space="preserve">Oaklands Hill Wind Farm </t>
  </si>
  <si>
    <t xml:space="preserve">Somerton </t>
  </si>
  <si>
    <t xml:space="preserve">Valley Power </t>
  </si>
  <si>
    <t xml:space="preserve">West Kiewa </t>
  </si>
  <si>
    <t xml:space="preserve">Yallourn </t>
  </si>
  <si>
    <t xml:space="preserve">Albany </t>
  </si>
  <si>
    <t xml:space="preserve">Alcoa Kwinana Cogen </t>
  </si>
  <si>
    <t xml:space="preserve">Alcoa Pinjarra Cogen </t>
  </si>
  <si>
    <t xml:space="preserve">Alcoa Wagerup Cogen </t>
  </si>
  <si>
    <t xml:space="preserve">Bluewaters </t>
  </si>
  <si>
    <t xml:space="preserve">BP Cogen </t>
  </si>
  <si>
    <t xml:space="preserve">Canning/Melville LFG </t>
  </si>
  <si>
    <t xml:space="preserve">Landfill gas </t>
  </si>
  <si>
    <t xml:space="preserve">Cockburn </t>
  </si>
  <si>
    <t xml:space="preserve">Collgar Wind Farm </t>
  </si>
  <si>
    <t xml:space="preserve">Collie </t>
  </si>
  <si>
    <t xml:space="preserve">Emu downs </t>
  </si>
  <si>
    <t xml:space="preserve">Geraldton </t>
  </si>
  <si>
    <t xml:space="preserve">Distillate </t>
  </si>
  <si>
    <t xml:space="preserve">Grasmere </t>
  </si>
  <si>
    <t xml:space="preserve">Greenough River </t>
  </si>
  <si>
    <t xml:space="preserve">Kalgoorlie </t>
  </si>
  <si>
    <t xml:space="preserve">Kalgoorlie Nickel </t>
  </si>
  <si>
    <t xml:space="preserve">Kemerton </t>
  </si>
  <si>
    <t xml:space="preserve">Kwinana A </t>
  </si>
  <si>
    <t xml:space="preserve">Kwinana B </t>
  </si>
  <si>
    <t xml:space="preserve">Kwinana C </t>
  </si>
  <si>
    <t xml:space="preserve">Kwinana GT </t>
  </si>
  <si>
    <t xml:space="preserve">Kwinana HEGT </t>
  </si>
  <si>
    <t xml:space="preserve">Muja A&amp;B </t>
  </si>
  <si>
    <t xml:space="preserve">Muja C </t>
  </si>
  <si>
    <t xml:space="preserve">Muja D </t>
  </si>
  <si>
    <t xml:space="preserve">Mumbida </t>
  </si>
  <si>
    <t xml:space="preserve">Mungarra </t>
  </si>
  <si>
    <t xml:space="preserve">Namarkkon </t>
  </si>
  <si>
    <t xml:space="preserve">Neerabup Peaker </t>
  </si>
  <si>
    <t xml:space="preserve">Newgen Power </t>
  </si>
  <si>
    <t xml:space="preserve">Parkeston SCE </t>
  </si>
  <si>
    <t xml:space="preserve">Pinjar A B </t>
  </si>
  <si>
    <t xml:space="preserve">Pinjar C </t>
  </si>
  <si>
    <t xml:space="preserve">Pinjar D </t>
  </si>
  <si>
    <t xml:space="preserve">Pinjarra Alinta Cogen </t>
  </si>
  <si>
    <t xml:space="preserve">Tesla (various sites) </t>
  </si>
  <si>
    <t xml:space="preserve">Tiwest Cogen </t>
  </si>
  <si>
    <t xml:space="preserve">Wagerup Alinta Peaker </t>
  </si>
  <si>
    <t xml:space="preserve">Walkaway </t>
  </si>
  <si>
    <t xml:space="preserve">Western Energy Peaker </t>
  </si>
  <si>
    <t xml:space="preserve">Worsley </t>
  </si>
  <si>
    <t xml:space="preserve">Worsley SWCJV </t>
  </si>
  <si>
    <t xml:space="preserve">Burrup Peninsula </t>
  </si>
  <si>
    <t xml:space="preserve">Cape Lambert a </t>
  </si>
  <si>
    <t xml:space="preserve">Cape Preston </t>
  </si>
  <si>
    <t xml:space="preserve">Dampier a </t>
  </si>
  <si>
    <t xml:space="preserve">Karratha </t>
  </si>
  <si>
    <t xml:space="preserve">Karratha ACTO </t>
  </si>
  <si>
    <t xml:space="preserve">Paraburdoo </t>
  </si>
  <si>
    <t xml:space="preserve">Port Hedland </t>
  </si>
  <si>
    <t xml:space="preserve">Berrimah </t>
  </si>
  <si>
    <t xml:space="preserve">Channel Island u1-3 </t>
  </si>
  <si>
    <t xml:space="preserve">Channel Island u4-6 </t>
  </si>
  <si>
    <t xml:space="preserve">Channel Island u7 </t>
  </si>
  <si>
    <t xml:space="preserve">Channel Island u8-9 </t>
  </si>
  <si>
    <t xml:space="preserve">Katherine </t>
  </si>
  <si>
    <t xml:space="preserve">LMS Shoal Bay </t>
  </si>
  <si>
    <t xml:space="preserve">Pine Creek CCGT </t>
  </si>
  <si>
    <t xml:space="preserve">Weddell </t>
  </si>
  <si>
    <t>(Source: ACIL ALLEN CONSULTING 2013, Tables 1&amp;2)</t>
  </si>
  <si>
    <t>Nitrous oxide emissions from Urea Application</t>
  </si>
  <si>
    <t>Urea Fertiliser Crops</t>
  </si>
  <si>
    <t>Urea Fertiliser Pasture</t>
  </si>
  <si>
    <t>Fertiliser application Crops</t>
  </si>
  <si>
    <t>Fertiliser application Pasture</t>
  </si>
  <si>
    <t>Total mass of fertiliser TM</t>
  </si>
  <si>
    <t>t Urea</t>
  </si>
  <si>
    <t>M = (M x EF x C)/1000</t>
  </si>
  <si>
    <t>3H_1</t>
  </si>
  <si>
    <t>TM = Mass of Urea applied to soils</t>
  </si>
  <si>
    <t>EF =</t>
  </si>
  <si>
    <t>C =</t>
  </si>
  <si>
    <t>Gg CO2e</t>
  </si>
  <si>
    <t>Feed adjustment</t>
  </si>
  <si>
    <t>Kimberley</t>
  </si>
  <si>
    <t>Pilbara</t>
  </si>
  <si>
    <r>
      <t>CO</t>
    </r>
    <r>
      <rPr>
        <vertAlign val="subscript"/>
        <sz val="11"/>
        <rFont val="Times New Roman"/>
        <family val="1"/>
      </rPr>
      <t>2</t>
    </r>
    <r>
      <rPr>
        <sz val="11"/>
        <rFont val="Times New Roman"/>
        <family val="1"/>
      </rPr>
      <t xml:space="preserve"> - Urea</t>
    </r>
  </si>
  <si>
    <r>
      <t>CO</t>
    </r>
    <r>
      <rPr>
        <vertAlign val="subscript"/>
        <sz val="11"/>
        <rFont val="Times New Roman"/>
        <family val="1"/>
      </rPr>
      <t>2</t>
    </r>
    <r>
      <rPr>
        <sz val="11"/>
        <rFont val="Times New Roman"/>
        <family val="1"/>
      </rPr>
      <t xml:space="preserve"> - Lime</t>
    </r>
  </si>
  <si>
    <t>Zone</t>
  </si>
  <si>
    <t>Temperate</t>
  </si>
  <si>
    <t>Tropical</t>
  </si>
  <si>
    <t>I = (1.185 + 0.00454 x W - 0.0000026 x W^2 + 0.315 x LWG)^2 x MA</t>
  </si>
  <si>
    <t>No change</t>
  </si>
  <si>
    <t>Not included</t>
  </si>
  <si>
    <t>-</t>
  </si>
  <si>
    <t>4D3_6</t>
  </si>
  <si>
    <t>Appendix 5.J.1</t>
  </si>
  <si>
    <t>3DB_10</t>
  </si>
  <si>
    <t>Fine Fuel Nitrogen Content (NC)</t>
  </si>
  <si>
    <t>Emission Factor Fine Fuels (EF)</t>
  </si>
  <si>
    <t xml:space="preserve">Course Fuel Nitrogen Content (NC) </t>
  </si>
  <si>
    <t>Emission Factor Course Fuels (EF)</t>
  </si>
  <si>
    <t>Molecular Mass Conversion Factor (Cg)</t>
  </si>
  <si>
    <t>km</t>
  </si>
  <si>
    <t>Property in orange zone</t>
  </si>
  <si>
    <r>
      <t>CO</t>
    </r>
    <r>
      <rPr>
        <vertAlign val="subscript"/>
        <sz val="11"/>
        <rFont val="Times New Roman"/>
        <family val="1"/>
      </rPr>
      <t>2</t>
    </r>
    <r>
      <rPr>
        <sz val="11"/>
        <rFont val="Times New Roman"/>
        <family val="1"/>
      </rPr>
      <t xml:space="preserve"> - Energy</t>
    </r>
  </si>
  <si>
    <r>
      <t>CH</t>
    </r>
    <r>
      <rPr>
        <vertAlign val="subscript"/>
        <sz val="11"/>
        <rFont val="Times New Roman"/>
        <family val="1"/>
      </rPr>
      <t>4</t>
    </r>
    <r>
      <rPr>
        <sz val="11"/>
        <rFont val="Times New Roman"/>
        <family val="1"/>
      </rPr>
      <t xml:space="preserve"> - Manure Management</t>
    </r>
  </si>
  <si>
    <r>
      <t>N</t>
    </r>
    <r>
      <rPr>
        <vertAlign val="subscript"/>
        <sz val="11"/>
        <rFont val="Times New Roman"/>
        <family val="1"/>
      </rPr>
      <t>2</t>
    </r>
    <r>
      <rPr>
        <sz val="11"/>
        <rFont val="Times New Roman"/>
        <family val="1"/>
      </rPr>
      <t>O - Atmospheric Deposition</t>
    </r>
  </si>
  <si>
    <t>Total from N2O emissions from synthetic fertiliser</t>
  </si>
  <si>
    <r>
      <t>N</t>
    </r>
    <r>
      <rPr>
        <vertAlign val="subscript"/>
        <sz val="11"/>
        <rFont val="Times New Roman"/>
        <family val="1"/>
      </rPr>
      <t>2</t>
    </r>
    <r>
      <rPr>
        <sz val="11"/>
        <rFont val="Times New Roman"/>
        <family val="1"/>
      </rPr>
      <t>O - Fertiliser</t>
    </r>
  </si>
  <si>
    <r>
      <t>N</t>
    </r>
    <r>
      <rPr>
        <vertAlign val="subscript"/>
        <sz val="11"/>
        <rFont val="Times New Roman"/>
        <family val="1"/>
      </rPr>
      <t>2</t>
    </r>
    <r>
      <rPr>
        <sz val="11"/>
        <rFont val="Times New Roman"/>
        <family val="1"/>
      </rPr>
      <t>O - Urine and Dung</t>
    </r>
  </si>
  <si>
    <t>Total N2O Urine and Dung Deposited during Grazing</t>
  </si>
  <si>
    <t>Total N2O Atmospheric Deposition</t>
  </si>
  <si>
    <t>Total N2O Leaching an Runoff</t>
  </si>
  <si>
    <r>
      <t>N</t>
    </r>
    <r>
      <rPr>
        <vertAlign val="subscript"/>
        <sz val="11"/>
        <rFont val="Times New Roman"/>
        <family val="1"/>
      </rPr>
      <t>2</t>
    </r>
    <r>
      <rPr>
        <sz val="11"/>
        <rFont val="Times New Roman"/>
        <family val="1"/>
      </rPr>
      <t>O - Leaching an Runoff</t>
    </r>
  </si>
  <si>
    <r>
      <t>N</t>
    </r>
    <r>
      <rPr>
        <vertAlign val="subscript"/>
        <sz val="11"/>
        <rFont val="Times New Roman"/>
        <family val="1"/>
      </rPr>
      <t>2</t>
    </r>
    <r>
      <rPr>
        <sz val="11"/>
        <rFont val="Times New Roman"/>
        <family val="1"/>
      </rPr>
      <t xml:space="preserve">O - Savannah Burning </t>
    </r>
  </si>
  <si>
    <t>Joe Bloggs' cattle station</t>
  </si>
  <si>
    <t>Global Warming Potential and Conversion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</si>
</sst>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00"/>
    <numFmt numFmtId="165" formatCode="0.0"/>
    <numFmt numFmtId="166" formatCode="_-* #,##0_-;\-* #,##0_-;_-* &quot;-&quot;??_-;_-@_-"/>
    <numFmt numFmtId="167" formatCode="_-* #,##0.0000_-;\-* #,##0.0000_-;_-* &quot;-&quot;??_-;_-@_-"/>
    <numFmt numFmtId="168" formatCode="0.00000000"/>
    <numFmt numFmtId="169" formatCode="_-* #,##0.00000000_-;\-* #,##0.00000000_-;_-* &quot;-&quot;??_-;_-@_-"/>
    <numFmt numFmtId="170" formatCode="_-* #,##0.00000000_-;\-* #,##0.00000000_-;_-* &quot;-&quot;????????_-;_-@_-"/>
    <numFmt numFmtId="171" formatCode="0.000000"/>
    <numFmt numFmtId="172" formatCode="0.00000"/>
    <numFmt numFmtId="173" formatCode="0.0000"/>
    <numFmt numFmtId="174" formatCode="0.0000000"/>
    <numFmt numFmtId="175" formatCode="0.0E+00;\_x0000_"/>
    <numFmt numFmtId="176" formatCode="0.0000E+00;\_x0000_"/>
  </numFmts>
  <fonts count="38" x14ac:knownFonts="1">
    <font>
      <sz val="10"/>
      <name val="Arial"/>
    </font>
    <font>
      <sz val="10"/>
      <name val="Arial"/>
      <family val="2"/>
    </font>
    <font>
      <sz val="11"/>
      <name val="Times New Roman"/>
      <family val="1"/>
    </font>
    <font>
      <sz val="12"/>
      <name val="Times New Roman"/>
      <family val="1"/>
    </font>
    <font>
      <b/>
      <sz val="12"/>
      <name val="Times New Roman"/>
      <family val="1"/>
    </font>
    <font>
      <b/>
      <sz val="11"/>
      <name val="Times New Roman"/>
      <family val="1"/>
    </font>
    <font>
      <i/>
      <sz val="12"/>
      <name val="Times New Roman"/>
      <family val="1"/>
    </font>
    <font>
      <vertAlign val="subscript"/>
      <sz val="11"/>
      <name val="Times New Roman"/>
      <family val="1"/>
    </font>
    <font>
      <b/>
      <i/>
      <sz val="12"/>
      <name val="Times New Roman"/>
      <family val="1"/>
    </font>
    <font>
      <sz val="14"/>
      <name val="Times New Roman"/>
      <family val="1"/>
    </font>
    <font>
      <sz val="8"/>
      <color indexed="81"/>
      <name val="Tahoma"/>
      <family val="2"/>
    </font>
    <font>
      <b/>
      <sz val="14"/>
      <name val="Times New Roman"/>
      <family val="1"/>
    </font>
    <font>
      <sz val="8"/>
      <name val="Arial"/>
      <family val="2"/>
    </font>
    <font>
      <i/>
      <sz val="11"/>
      <name val="Times New Roman"/>
      <family val="1"/>
    </font>
    <font>
      <u/>
      <sz val="12"/>
      <name val="Times New Roman"/>
      <family val="1"/>
    </font>
    <font>
      <b/>
      <sz val="12"/>
      <color indexed="10"/>
      <name val="Times New Roman"/>
      <family val="1"/>
    </font>
    <font>
      <b/>
      <vertAlign val="superscript"/>
      <sz val="12"/>
      <name val="Times New Roman"/>
      <family val="1"/>
    </font>
    <font>
      <b/>
      <vertAlign val="subscript"/>
      <sz val="12"/>
      <name val="Times New Roman"/>
      <family val="1"/>
    </font>
    <font>
      <b/>
      <vertAlign val="subscript"/>
      <sz val="11"/>
      <name val="Times New Roman"/>
      <family val="1"/>
    </font>
    <font>
      <b/>
      <sz val="9"/>
      <color indexed="81"/>
      <name val="Tahoma"/>
      <family val="2"/>
    </font>
    <font>
      <sz val="10"/>
      <color theme="1"/>
      <name val="Times New Roman"/>
      <family val="2"/>
    </font>
    <font>
      <sz val="10"/>
      <color rgb="FFFF0000"/>
      <name val="Times New Roman"/>
      <family val="2"/>
    </font>
    <font>
      <b/>
      <sz val="12"/>
      <color theme="1"/>
      <name val="Times New Roman"/>
      <family val="1"/>
    </font>
    <font>
      <i/>
      <sz val="10"/>
      <color rgb="FFFF0000"/>
      <name val="Times New Roman"/>
      <family val="1"/>
    </font>
    <font>
      <i/>
      <sz val="12"/>
      <color rgb="FFFF0000"/>
      <name val="Times New Roman"/>
      <family val="1"/>
    </font>
    <font>
      <u/>
      <sz val="10"/>
      <color theme="11"/>
      <name val="Arial"/>
      <family val="2"/>
    </font>
    <font>
      <b/>
      <sz val="10"/>
      <name val="Times New Roman"/>
      <family val="1"/>
    </font>
    <font>
      <sz val="10"/>
      <name val="Times New Roman"/>
      <family val="1"/>
    </font>
    <font>
      <b/>
      <sz val="10"/>
      <name val="Arial"/>
      <family val="2"/>
    </font>
    <font>
      <u/>
      <sz val="10"/>
      <color theme="10"/>
      <name val="Arial"/>
      <family val="2"/>
    </font>
    <font>
      <b/>
      <sz val="16"/>
      <name val="Times New Roman"/>
      <family val="1"/>
    </font>
    <font>
      <b/>
      <sz val="18"/>
      <name val="Times New Roman"/>
      <family val="1"/>
    </font>
    <font>
      <sz val="12"/>
      <name val="Times"/>
    </font>
    <font>
      <b/>
      <sz val="12"/>
      <color theme="1"/>
      <name val="Times"/>
    </font>
    <font>
      <b/>
      <sz val="12"/>
      <name val="Times"/>
    </font>
    <font>
      <sz val="12"/>
      <color rgb="FF000000"/>
      <name val="Times New Roman"/>
      <family val="1"/>
    </font>
    <font>
      <b/>
      <sz val="12"/>
      <color rgb="FF000000"/>
      <name val="Times New Roman"/>
      <family val="1"/>
    </font>
    <font>
      <sz val="8"/>
      <color indexed="8"/>
      <name val="Tahoma"/>
      <family val="2"/>
    </font>
  </fonts>
  <fills count="23">
    <fill>
      <patternFill patternType="none"/>
    </fill>
    <fill>
      <patternFill patternType="gray125"/>
    </fill>
    <fill>
      <patternFill patternType="solid">
        <fgColor theme="7" tint="0.59999389629810485"/>
        <bgColor indexed="65"/>
      </patternFill>
    </fill>
    <fill>
      <patternFill patternType="solid">
        <fgColor theme="6"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CD5B4"/>
        <bgColor rgb="FF000000"/>
      </patternFill>
    </fill>
    <fill>
      <patternFill patternType="solid">
        <fgColor rgb="FFFDE9D9"/>
        <bgColor rgb="FF000000"/>
      </patternFill>
    </fill>
    <fill>
      <patternFill patternType="solid">
        <fgColor theme="2" tint="-0.249977111117893"/>
        <bgColor indexed="64"/>
      </patternFill>
    </fill>
    <fill>
      <patternFill patternType="solid">
        <fgColor rgb="FFCCC0DA"/>
        <bgColor rgb="FFCCC0DA"/>
      </patternFill>
    </fill>
    <fill>
      <patternFill patternType="solid">
        <fgColor rgb="FFFAFDD1"/>
        <bgColor indexed="64"/>
      </patternFill>
    </fill>
  </fills>
  <borders count="16">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310">
    <xf numFmtId="0" fontId="0" fillId="0" borderId="0"/>
    <xf numFmtId="0" fontId="20" fillId="2" borderId="0" applyNumberFormat="0" applyBorder="0" applyAlignment="0" applyProtection="0"/>
    <xf numFmtId="43" fontId="1"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cellStyleXfs>
  <cellXfs count="563">
    <xf numFmtId="0" fontId="0" fillId="0" borderId="0" xfId="0"/>
    <xf numFmtId="0" fontId="3" fillId="0" borderId="0" xfId="0" applyFont="1"/>
    <xf numFmtId="0" fontId="4" fillId="0" borderId="0" xfId="0" applyFont="1"/>
    <xf numFmtId="0" fontId="3" fillId="0" borderId="0" xfId="0" applyFont="1" applyBorder="1"/>
    <xf numFmtId="0" fontId="3" fillId="0" borderId="0" xfId="0" applyFont="1" applyBorder="1" applyAlignment="1">
      <alignment vertical="top" wrapText="1"/>
    </xf>
    <xf numFmtId="0" fontId="3" fillId="4" borderId="0" xfId="0" applyFont="1" applyFill="1" applyBorder="1"/>
    <xf numFmtId="0" fontId="4" fillId="4" borderId="0" xfId="0" applyFont="1" applyFill="1" applyBorder="1"/>
    <xf numFmtId="0" fontId="2" fillId="4" borderId="0" xfId="0" applyFont="1" applyFill="1" applyBorder="1" applyProtection="1"/>
    <xf numFmtId="1" fontId="2" fillId="4" borderId="0" xfId="0" applyNumberFormat="1" applyFont="1" applyFill="1" applyBorder="1" applyAlignment="1" applyProtection="1">
      <alignment horizontal="right" vertical="top" wrapText="1"/>
    </xf>
    <xf numFmtId="2" fontId="2" fillId="4" borderId="0" xfId="0" applyNumberFormat="1" applyFont="1" applyFill="1" applyBorder="1" applyAlignment="1" applyProtection="1">
      <alignment horizontal="right" vertical="top" wrapText="1"/>
    </xf>
    <xf numFmtId="165" fontId="2" fillId="4" borderId="0" xfId="0" applyNumberFormat="1" applyFont="1" applyFill="1" applyBorder="1" applyAlignment="1" applyProtection="1">
      <alignment horizontal="right" vertical="top" wrapText="1"/>
    </xf>
    <xf numFmtId="0" fontId="2" fillId="4" borderId="0" xfId="0" applyFont="1" applyFill="1" applyBorder="1" applyProtection="1">
      <protection hidden="1"/>
    </xf>
    <xf numFmtId="0" fontId="11" fillId="0" borderId="0" xfId="0" applyFont="1" applyFill="1" applyBorder="1"/>
    <xf numFmtId="0" fontId="3" fillId="0" borderId="0" xfId="0" applyFont="1" applyFill="1" applyBorder="1"/>
    <xf numFmtId="0" fontId="4" fillId="0" borderId="0" xfId="0" applyFont="1" applyFill="1" applyBorder="1"/>
    <xf numFmtId="0" fontId="3" fillId="0" borderId="0" xfId="0" applyFont="1" applyFill="1" applyBorder="1" applyProtection="1">
      <protection locked="0"/>
    </xf>
    <xf numFmtId="1" fontId="3" fillId="0" borderId="0" xfId="0" applyNumberFormat="1" applyFont="1" applyFill="1" applyBorder="1"/>
    <xf numFmtId="0" fontId="4" fillId="0" borderId="0" xfId="0" applyFont="1" applyFill="1" applyBorder="1" applyAlignment="1">
      <alignment vertical="top" wrapText="1"/>
    </xf>
    <xf numFmtId="0" fontId="3" fillId="4" borderId="1" xfId="0" applyFont="1" applyFill="1" applyBorder="1"/>
    <xf numFmtId="0" fontId="3" fillId="4" borderId="2" xfId="0" applyFont="1" applyFill="1" applyBorder="1"/>
    <xf numFmtId="0" fontId="11" fillId="0" borderId="0" xfId="0" applyFont="1"/>
    <xf numFmtId="0" fontId="11" fillId="0" borderId="0" xfId="0" applyFont="1" applyBorder="1"/>
    <xf numFmtId="0" fontId="4" fillId="0" borderId="0" xfId="0" applyFont="1" applyBorder="1"/>
    <xf numFmtId="0" fontId="8" fillId="0" borderId="0" xfId="0" applyFont="1" applyBorder="1"/>
    <xf numFmtId="164" fontId="3" fillId="0" borderId="0" xfId="0" applyNumberFormat="1" applyFont="1" applyBorder="1"/>
    <xf numFmtId="164" fontId="4" fillId="0" borderId="0" xfId="0" applyNumberFormat="1" applyFont="1" applyBorder="1"/>
    <xf numFmtId="0" fontId="4" fillId="0" borderId="0" xfId="0" applyFont="1" applyBorder="1" applyAlignment="1">
      <alignment vertical="top" wrapText="1"/>
    </xf>
    <xf numFmtId="164" fontId="3" fillId="0" borderId="0" xfId="0" applyNumberFormat="1" applyFont="1" applyBorder="1" applyAlignment="1">
      <alignment vertical="top" wrapText="1"/>
    </xf>
    <xf numFmtId="0" fontId="14" fillId="0" borderId="0" xfId="0" applyFont="1" applyBorder="1"/>
    <xf numFmtId="3" fontId="3" fillId="0" borderId="0" xfId="0" applyNumberFormat="1" applyFont="1" applyBorder="1"/>
    <xf numFmtId="0" fontId="3" fillId="0" borderId="0" xfId="0" applyFont="1" applyBorder="1" applyAlignment="1">
      <alignment horizontal="center"/>
    </xf>
    <xf numFmtId="0" fontId="22" fillId="5" borderId="3" xfId="1" applyFont="1" applyFill="1" applyBorder="1"/>
    <xf numFmtId="0" fontId="4" fillId="6" borderId="3" xfId="0" applyFont="1" applyFill="1" applyBorder="1" applyAlignment="1">
      <alignment horizontal="center"/>
    </xf>
    <xf numFmtId="0" fontId="4" fillId="5" borderId="0" xfId="0" applyFont="1" applyFill="1" applyBorder="1"/>
    <xf numFmtId="0" fontId="22" fillId="5" borderId="0" xfId="1" applyFont="1" applyFill="1" applyBorder="1"/>
    <xf numFmtId="0" fontId="4" fillId="0" borderId="0" xfId="0" applyFont="1" applyBorder="1" applyAlignment="1">
      <alignment horizontal="center"/>
    </xf>
    <xf numFmtId="0" fontId="9" fillId="0" borderId="0" xfId="0" applyFont="1" applyBorder="1"/>
    <xf numFmtId="0" fontId="3" fillId="5" borderId="0" xfId="0" applyFont="1" applyFill="1" applyBorder="1"/>
    <xf numFmtId="0" fontId="3" fillId="5" borderId="0" xfId="0" applyFont="1" applyFill="1" applyBorder="1" applyAlignment="1">
      <alignment horizontal="center"/>
    </xf>
    <xf numFmtId="0" fontId="4" fillId="5" borderId="2" xfId="0" applyFont="1" applyFill="1" applyBorder="1"/>
    <xf numFmtId="0" fontId="3" fillId="5" borderId="2" xfId="0" applyFont="1" applyFill="1" applyBorder="1"/>
    <xf numFmtId="0" fontId="3" fillId="5" borderId="2" xfId="0" applyFont="1" applyFill="1" applyBorder="1" applyAlignment="1">
      <alignment horizontal="center"/>
    </xf>
    <xf numFmtId="0" fontId="4" fillId="5" borderId="3" xfId="0" applyFont="1" applyFill="1" applyBorder="1"/>
    <xf numFmtId="165" fontId="3" fillId="5" borderId="0" xfId="0" applyNumberFormat="1" applyFont="1" applyFill="1" applyBorder="1"/>
    <xf numFmtId="2" fontId="3" fillId="5" borderId="0" xfId="0" applyNumberFormat="1" applyFont="1" applyFill="1" applyBorder="1"/>
    <xf numFmtId="164" fontId="3" fillId="5" borderId="0" xfId="0" applyNumberFormat="1" applyFont="1" applyFill="1" applyBorder="1"/>
    <xf numFmtId="0" fontId="4" fillId="6" borderId="0" xfId="0" applyFont="1" applyFill="1" applyBorder="1" applyAlignment="1">
      <alignment horizontal="center"/>
    </xf>
    <xf numFmtId="0" fontId="4" fillId="6" borderId="2" xfId="0" applyFont="1" applyFill="1" applyBorder="1" applyAlignment="1">
      <alignment horizontal="center"/>
    </xf>
    <xf numFmtId="0" fontId="4" fillId="7" borderId="3" xfId="0" applyFont="1" applyFill="1" applyBorder="1" applyAlignment="1">
      <alignment horizontal="center"/>
    </xf>
    <xf numFmtId="0" fontId="4" fillId="7" borderId="0" xfId="0" applyFont="1" applyFill="1" applyBorder="1" applyAlignment="1">
      <alignment horizontal="center"/>
    </xf>
    <xf numFmtId="0" fontId="4" fillId="8" borderId="3" xfId="0" applyFont="1" applyFill="1" applyBorder="1"/>
    <xf numFmtId="0" fontId="4" fillId="8" borderId="0" xfId="0" applyFont="1" applyFill="1" applyBorder="1"/>
    <xf numFmtId="0" fontId="3" fillId="8" borderId="0" xfId="0" applyFont="1" applyFill="1" applyBorder="1"/>
    <xf numFmtId="0" fontId="3" fillId="8" borderId="0" xfId="0" applyFont="1" applyFill="1" applyBorder="1" applyAlignment="1">
      <alignment horizontal="center"/>
    </xf>
    <xf numFmtId="0" fontId="3" fillId="8" borderId="2" xfId="0" applyFont="1" applyFill="1" applyBorder="1"/>
    <xf numFmtId="0" fontId="3" fillId="8" borderId="2" xfId="0" applyFont="1" applyFill="1" applyBorder="1" applyAlignment="1">
      <alignment horizontal="center"/>
    </xf>
    <xf numFmtId="0" fontId="4" fillId="8" borderId="1" xfId="0" applyFont="1" applyFill="1" applyBorder="1"/>
    <xf numFmtId="0" fontId="3" fillId="8" borderId="1" xfId="0" applyFont="1" applyFill="1" applyBorder="1"/>
    <xf numFmtId="0" fontId="3" fillId="8" borderId="1" xfId="0" applyFont="1" applyFill="1" applyBorder="1" applyAlignment="1">
      <alignment horizontal="center"/>
    </xf>
    <xf numFmtId="174" fontId="3" fillId="8" borderId="0" xfId="0" applyNumberFormat="1" applyFont="1" applyFill="1" applyBorder="1"/>
    <xf numFmtId="168" fontId="3" fillId="8" borderId="0" xfId="0" applyNumberFormat="1" applyFont="1" applyFill="1" applyBorder="1"/>
    <xf numFmtId="171" fontId="3" fillId="8" borderId="0" xfId="0" applyNumberFormat="1" applyFont="1" applyFill="1" applyBorder="1"/>
    <xf numFmtId="0" fontId="4" fillId="8" borderId="2" xfId="0" applyFont="1" applyFill="1" applyBorder="1"/>
    <xf numFmtId="0" fontId="4" fillId="7" borderId="2" xfId="0" applyFont="1" applyFill="1" applyBorder="1" applyAlignment="1">
      <alignment horizontal="center"/>
    </xf>
    <xf numFmtId="0" fontId="15" fillId="0" borderId="0" xfId="0" applyFont="1"/>
    <xf numFmtId="169" fontId="3" fillId="0" borderId="0" xfId="0" applyNumberFormat="1" applyFont="1"/>
    <xf numFmtId="170" fontId="3" fillId="0" borderId="0" xfId="0" applyNumberFormat="1" applyFont="1"/>
    <xf numFmtId="0" fontId="4" fillId="0" borderId="0" xfId="0" applyFont="1" applyAlignment="1">
      <alignment horizontal="center"/>
    </xf>
    <xf numFmtId="0" fontId="3" fillId="0" borderId="0" xfId="0" applyFont="1" applyBorder="1" applyAlignment="1"/>
    <xf numFmtId="0" fontId="4" fillId="9" borderId="3" xfId="0" applyFont="1" applyFill="1" applyBorder="1" applyAlignment="1">
      <alignment horizontal="center"/>
    </xf>
    <xf numFmtId="0" fontId="4" fillId="10" borderId="3" xfId="0" applyFont="1" applyFill="1" applyBorder="1"/>
    <xf numFmtId="0" fontId="4" fillId="10" borderId="2" xfId="0" applyFont="1" applyFill="1" applyBorder="1"/>
    <xf numFmtId="0" fontId="3" fillId="10" borderId="2" xfId="0" applyFont="1" applyFill="1" applyBorder="1"/>
    <xf numFmtId="0" fontId="3" fillId="10" borderId="3" xfId="0" applyFont="1" applyFill="1" applyBorder="1"/>
    <xf numFmtId="167" fontId="4" fillId="0" borderId="0" xfId="2" applyNumberFormat="1" applyFont="1" applyAlignment="1">
      <alignment horizontal="center"/>
    </xf>
    <xf numFmtId="0" fontId="3" fillId="0" borderId="0" xfId="0" applyFont="1" applyFill="1" applyBorder="1" applyAlignment="1">
      <alignment vertical="top" wrapText="1"/>
    </xf>
    <xf numFmtId="0" fontId="4" fillId="10" borderId="0" xfId="0" applyFont="1" applyFill="1" applyBorder="1"/>
    <xf numFmtId="0" fontId="3" fillId="10" borderId="0" xfId="0" applyFont="1" applyFill="1" applyBorder="1"/>
    <xf numFmtId="0" fontId="3" fillId="10" borderId="0" xfId="0" applyFont="1" applyFill="1" applyBorder="1" applyAlignment="1">
      <alignment horizontal="center"/>
    </xf>
    <xf numFmtId="1" fontId="3" fillId="10" borderId="0" xfId="0" applyNumberFormat="1" applyFont="1" applyFill="1" applyBorder="1"/>
    <xf numFmtId="2" fontId="3" fillId="10" borderId="2" xfId="0" applyNumberFormat="1" applyFont="1" applyFill="1" applyBorder="1"/>
    <xf numFmtId="0" fontId="3" fillId="10" borderId="4" xfId="0" applyFont="1" applyFill="1" applyBorder="1"/>
    <xf numFmtId="0" fontId="3" fillId="10" borderId="6" xfId="0" applyFont="1" applyFill="1" applyBorder="1"/>
    <xf numFmtId="173" fontId="3" fillId="10" borderId="0" xfId="0" applyNumberFormat="1" applyFont="1" applyFill="1" applyBorder="1"/>
    <xf numFmtId="0" fontId="4" fillId="9" borderId="0" xfId="0" applyFont="1" applyFill="1" applyBorder="1" applyAlignment="1">
      <alignment horizontal="center"/>
    </xf>
    <xf numFmtId="0" fontId="4" fillId="9" borderId="2" xfId="0" applyFont="1" applyFill="1" applyBorder="1" applyAlignment="1">
      <alignment horizontal="center"/>
    </xf>
    <xf numFmtId="0" fontId="11" fillId="0" borderId="0" xfId="0" applyFont="1" applyFill="1"/>
    <xf numFmtId="0" fontId="3" fillId="11" borderId="0" xfId="0" applyFont="1" applyFill="1" applyBorder="1"/>
    <xf numFmtId="0" fontId="4" fillId="11" borderId="3" xfId="0" applyFont="1" applyFill="1" applyBorder="1"/>
    <xf numFmtId="0" fontId="4" fillId="11" borderId="3" xfId="0" applyFont="1" applyFill="1" applyBorder="1" applyAlignment="1">
      <alignment horizontal="center"/>
    </xf>
    <xf numFmtId="0" fontId="3" fillId="11" borderId="0" xfId="0" applyFont="1" applyFill="1"/>
    <xf numFmtId="3" fontId="3" fillId="11" borderId="0" xfId="0" applyNumberFormat="1" applyFont="1" applyFill="1" applyBorder="1"/>
    <xf numFmtId="168" fontId="3" fillId="11" borderId="0" xfId="0" applyNumberFormat="1" applyFont="1" applyFill="1" applyBorder="1"/>
    <xf numFmtId="0" fontId="4" fillId="11" borderId="0" xfId="0" applyFont="1" applyFill="1" applyBorder="1"/>
    <xf numFmtId="0" fontId="3" fillId="11" borderId="2" xfId="0" applyFont="1" applyFill="1" applyBorder="1"/>
    <xf numFmtId="0" fontId="3" fillId="11" borderId="3" xfId="0" applyFont="1" applyFill="1" applyBorder="1"/>
    <xf numFmtId="0" fontId="4" fillId="0" borderId="0" xfId="0" applyFont="1" applyFill="1" applyAlignment="1">
      <alignment horizontal="center"/>
    </xf>
    <xf numFmtId="0" fontId="3" fillId="0" borderId="2" xfId="0" applyFont="1" applyFill="1" applyBorder="1"/>
    <xf numFmtId="174" fontId="3" fillId="10" borderId="0" xfId="0" applyNumberFormat="1" applyFont="1" applyFill="1" applyBorder="1"/>
    <xf numFmtId="0" fontId="4" fillId="11" borderId="0" xfId="0" applyFont="1" applyFill="1" applyAlignment="1">
      <alignment horizontal="center"/>
    </xf>
    <xf numFmtId="0" fontId="3" fillId="11" borderId="7" xfId="0" applyFont="1" applyFill="1" applyBorder="1"/>
    <xf numFmtId="0" fontId="4" fillId="11" borderId="0" xfId="0" applyFont="1" applyFill="1"/>
    <xf numFmtId="2" fontId="3" fillId="11" borderId="0" xfId="0" applyNumberFormat="1" applyFont="1" applyFill="1"/>
    <xf numFmtId="0" fontId="4" fillId="11" borderId="10" xfId="0" applyFont="1" applyFill="1" applyBorder="1"/>
    <xf numFmtId="0" fontId="3" fillId="11" borderId="1" xfId="0" applyFont="1" applyFill="1" applyBorder="1"/>
    <xf numFmtId="0" fontId="4" fillId="11" borderId="6" xfId="0" applyFont="1" applyFill="1" applyBorder="1"/>
    <xf numFmtId="0" fontId="3" fillId="11" borderId="6" xfId="0" applyFont="1" applyFill="1" applyBorder="1"/>
    <xf numFmtId="0" fontId="3" fillId="11" borderId="11" xfId="0" applyFont="1" applyFill="1" applyBorder="1"/>
    <xf numFmtId="0" fontId="4" fillId="11" borderId="2" xfId="0" applyFont="1" applyFill="1" applyBorder="1"/>
    <xf numFmtId="0" fontId="6" fillId="11" borderId="0" xfId="0" applyFont="1" applyFill="1"/>
    <xf numFmtId="0" fontId="3" fillId="11" borderId="0" xfId="0" applyFont="1" applyFill="1" applyAlignment="1">
      <alignment horizontal="right"/>
    </xf>
    <xf numFmtId="0" fontId="3" fillId="11" borderId="0" xfId="0" applyFont="1" applyFill="1" applyBorder="1" applyAlignment="1">
      <alignment horizontal="right"/>
    </xf>
    <xf numFmtId="174" fontId="3" fillId="11" borderId="0" xfId="0" applyNumberFormat="1" applyFont="1" applyFill="1"/>
    <xf numFmtId="171" fontId="3" fillId="11" borderId="0" xfId="0" applyNumberFormat="1" applyFont="1" applyFill="1"/>
    <xf numFmtId="0" fontId="3" fillId="11" borderId="0" xfId="0" applyFont="1" applyFill="1" applyAlignment="1">
      <alignment horizontal="left"/>
    </xf>
    <xf numFmtId="0" fontId="3" fillId="11" borderId="8" xfId="0" applyFont="1" applyFill="1" applyBorder="1"/>
    <xf numFmtId="0" fontId="3" fillId="11" borderId="9" xfId="0" applyFont="1" applyFill="1" applyBorder="1"/>
    <xf numFmtId="2" fontId="3" fillId="11" borderId="0" xfId="0" applyNumberFormat="1" applyFont="1" applyFill="1" applyBorder="1"/>
    <xf numFmtId="0" fontId="4" fillId="4" borderId="10" xfId="0" applyFont="1" applyFill="1" applyBorder="1"/>
    <xf numFmtId="0" fontId="3" fillId="0" borderId="1" xfId="0" applyFont="1" applyFill="1" applyBorder="1" applyProtection="1">
      <protection locked="0"/>
    </xf>
    <xf numFmtId="0" fontId="4" fillId="4" borderId="6" xfId="0" applyFont="1" applyFill="1" applyBorder="1"/>
    <xf numFmtId="0" fontId="4" fillId="4" borderId="11" xfId="0" applyFont="1" applyFill="1" applyBorder="1"/>
    <xf numFmtId="0" fontId="3" fillId="4" borderId="2" xfId="0" applyFont="1" applyFill="1" applyBorder="1" applyProtection="1"/>
    <xf numFmtId="1" fontId="3" fillId="4" borderId="2" xfId="0" applyNumberFormat="1" applyFont="1" applyFill="1" applyBorder="1"/>
    <xf numFmtId="2" fontId="3" fillId="4" borderId="2" xfId="0" applyNumberFormat="1" applyFont="1" applyFill="1" applyBorder="1"/>
    <xf numFmtId="0" fontId="3" fillId="0" borderId="1" xfId="0" applyFont="1" applyFill="1" applyBorder="1"/>
    <xf numFmtId="0" fontId="3" fillId="4" borderId="8" xfId="0" applyFont="1" applyFill="1" applyBorder="1"/>
    <xf numFmtId="0" fontId="3" fillId="4" borderId="9" xfId="0" applyFont="1" applyFill="1" applyBorder="1"/>
    <xf numFmtId="0" fontId="3" fillId="0" borderId="2" xfId="0" applyFont="1" applyFill="1" applyBorder="1" applyProtection="1">
      <protection locked="0"/>
    </xf>
    <xf numFmtId="0" fontId="4" fillId="12" borderId="3" xfId="0" applyFont="1" applyFill="1" applyBorder="1"/>
    <xf numFmtId="0" fontId="3" fillId="12" borderId="3" xfId="0" applyFont="1" applyFill="1" applyBorder="1"/>
    <xf numFmtId="0" fontId="3" fillId="12" borderId="0" xfId="0" applyFont="1" applyFill="1"/>
    <xf numFmtId="0" fontId="3" fillId="12" borderId="0" xfId="0" applyFont="1" applyFill="1" applyBorder="1"/>
    <xf numFmtId="0" fontId="4" fillId="12" borderId="2" xfId="0" applyFont="1" applyFill="1" applyBorder="1"/>
    <xf numFmtId="0" fontId="3" fillId="12" borderId="2" xfId="0" applyFont="1" applyFill="1" applyBorder="1"/>
    <xf numFmtId="0" fontId="23" fillId="13" borderId="0" xfId="0" applyFont="1" applyFill="1" applyProtection="1"/>
    <xf numFmtId="0" fontId="21" fillId="13" borderId="0" xfId="0" applyFont="1" applyFill="1" applyProtection="1"/>
    <xf numFmtId="0" fontId="3" fillId="0" borderId="10" xfId="0" applyFont="1" applyFill="1" applyBorder="1"/>
    <xf numFmtId="0" fontId="3" fillId="0" borderId="8" xfId="0" applyFont="1" applyFill="1" applyBorder="1"/>
    <xf numFmtId="0" fontId="3" fillId="0" borderId="6" xfId="0" applyFont="1" applyFill="1" applyBorder="1"/>
    <xf numFmtId="0" fontId="3" fillId="0" borderId="7" xfId="0" applyFont="1" applyFill="1" applyBorder="1"/>
    <xf numFmtId="0" fontId="3" fillId="0" borderId="11" xfId="0" applyFont="1" applyFill="1" applyBorder="1"/>
    <xf numFmtId="0" fontId="3" fillId="0" borderId="9" xfId="0" applyFont="1" applyFill="1" applyBorder="1"/>
    <xf numFmtId="0" fontId="24" fillId="0" borderId="1" xfId="0" applyFont="1" applyFill="1" applyBorder="1"/>
    <xf numFmtId="165" fontId="2" fillId="4" borderId="2" xfId="0" applyNumberFormat="1" applyFont="1" applyFill="1" applyBorder="1" applyProtection="1"/>
    <xf numFmtId="0" fontId="2" fillId="0" borderId="0" xfId="0" applyFont="1" applyFill="1" applyBorder="1" applyAlignment="1">
      <alignment horizontal="left"/>
    </xf>
    <xf numFmtId="0" fontId="2" fillId="0" borderId="0" xfId="0" applyFont="1" applyFill="1" applyBorder="1" applyProtection="1">
      <protection locked="0"/>
    </xf>
    <xf numFmtId="0" fontId="2" fillId="0" borderId="0" xfId="0" applyFont="1" applyFill="1" applyBorder="1"/>
    <xf numFmtId="0" fontId="2" fillId="0" borderId="0" xfId="0" applyFont="1" applyFill="1" applyBorder="1" applyProtection="1"/>
    <xf numFmtId="0" fontId="2" fillId="13" borderId="0" xfId="0" applyFont="1" applyFill="1" applyBorder="1" applyProtection="1"/>
    <xf numFmtId="0" fontId="11" fillId="13" borderId="0" xfId="0" applyFont="1" applyFill="1" applyBorder="1" applyAlignment="1" applyProtection="1"/>
    <xf numFmtId="0" fontId="2" fillId="13" borderId="0" xfId="0" applyFont="1" applyFill="1" applyBorder="1" applyAlignment="1" applyProtection="1"/>
    <xf numFmtId="0" fontId="2" fillId="4" borderId="4" xfId="0" applyFont="1" applyFill="1" applyBorder="1" applyProtection="1"/>
    <xf numFmtId="0" fontId="2" fillId="4" borderId="3" xfId="0" applyFont="1" applyFill="1" applyBorder="1" applyProtection="1"/>
    <xf numFmtId="0" fontId="2" fillId="4" borderId="5" xfId="0" applyFont="1" applyFill="1" applyBorder="1" applyProtection="1"/>
    <xf numFmtId="0" fontId="5" fillId="4" borderId="4" xfId="0" applyFont="1" applyFill="1" applyBorder="1" applyProtection="1"/>
    <xf numFmtId="0" fontId="5" fillId="4" borderId="3" xfId="0" applyFont="1" applyFill="1" applyBorder="1" applyAlignment="1" applyProtection="1">
      <alignment horizontal="right"/>
    </xf>
    <xf numFmtId="0" fontId="2" fillId="4" borderId="6" xfId="0" applyFont="1" applyFill="1" applyBorder="1" applyProtection="1"/>
    <xf numFmtId="0" fontId="2" fillId="4" borderId="0" xfId="0" applyFont="1" applyFill="1" applyBorder="1" applyAlignment="1" applyProtection="1">
      <alignment horizontal="right"/>
    </xf>
    <xf numFmtId="166" fontId="2" fillId="4" borderId="7" xfId="0" applyNumberFormat="1" applyFont="1" applyFill="1" applyBorder="1" applyProtection="1"/>
    <xf numFmtId="0" fontId="2" fillId="4" borderId="7" xfId="0" applyFont="1" applyFill="1" applyBorder="1" applyProtection="1"/>
    <xf numFmtId="4" fontId="2" fillId="4" borderId="7" xfId="2" applyNumberFormat="1" applyFont="1" applyFill="1" applyBorder="1" applyProtection="1"/>
    <xf numFmtId="0" fontId="2" fillId="4" borderId="11" xfId="0" applyFont="1" applyFill="1" applyBorder="1" applyProtection="1"/>
    <xf numFmtId="0" fontId="2" fillId="4" borderId="9" xfId="0" applyFont="1" applyFill="1" applyBorder="1" applyProtection="1"/>
    <xf numFmtId="0" fontId="2" fillId="4" borderId="2" xfId="0" applyFont="1" applyFill="1" applyBorder="1" applyProtection="1"/>
    <xf numFmtId="43" fontId="2" fillId="13" borderId="0" xfId="0" applyNumberFormat="1" applyFont="1" applyFill="1" applyBorder="1" applyProtection="1"/>
    <xf numFmtId="165" fontId="2" fillId="13" borderId="0" xfId="0" applyNumberFormat="1" applyFont="1" applyFill="1" applyBorder="1" applyProtection="1"/>
    <xf numFmtId="0" fontId="13" fillId="13" borderId="0" xfId="0" applyFont="1" applyFill="1" applyBorder="1" applyProtection="1"/>
    <xf numFmtId="0" fontId="3" fillId="0" borderId="12" xfId="0" applyFont="1" applyFill="1" applyBorder="1" applyProtection="1">
      <protection locked="0"/>
    </xf>
    <xf numFmtId="1" fontId="3" fillId="11" borderId="0" xfId="0" applyNumberFormat="1" applyFont="1" applyFill="1" applyBorder="1"/>
    <xf numFmtId="0" fontId="24" fillId="4" borderId="0" xfId="0" applyFont="1" applyFill="1" applyBorder="1"/>
    <xf numFmtId="0" fontId="3" fillId="4" borderId="0" xfId="0" applyFont="1" applyFill="1" applyBorder="1" applyProtection="1">
      <protection locked="0"/>
    </xf>
    <xf numFmtId="0" fontId="5" fillId="4" borderId="3" xfId="0" applyFont="1" applyFill="1" applyBorder="1" applyAlignment="1" applyProtection="1">
      <alignment wrapText="1"/>
    </xf>
    <xf numFmtId="0" fontId="2" fillId="4" borderId="2" xfId="0" applyFont="1" applyFill="1" applyBorder="1" applyAlignment="1" applyProtection="1">
      <alignment horizontal="right"/>
    </xf>
    <xf numFmtId="0" fontId="2" fillId="4" borderId="10" xfId="0" applyFont="1" applyFill="1" applyBorder="1" applyProtection="1"/>
    <xf numFmtId="0" fontId="2" fillId="4" borderId="1" xfId="0" applyFont="1" applyFill="1" applyBorder="1" applyProtection="1"/>
    <xf numFmtId="0" fontId="2" fillId="4" borderId="8" xfId="0" applyFont="1" applyFill="1" applyBorder="1" applyProtection="1"/>
    <xf numFmtId="0" fontId="5" fillId="4" borderId="5" xfId="0" applyNumberFormat="1" applyFont="1" applyFill="1" applyBorder="1" applyProtection="1"/>
    <xf numFmtId="0" fontId="5" fillId="4" borderId="5" xfId="0" applyNumberFormat="1" applyFont="1" applyFill="1" applyBorder="1" applyAlignment="1" applyProtection="1">
      <alignment horizontal="right"/>
    </xf>
    <xf numFmtId="0" fontId="5" fillId="4" borderId="5" xfId="0" applyFont="1" applyFill="1" applyBorder="1" applyAlignment="1" applyProtection="1">
      <alignment wrapText="1"/>
    </xf>
    <xf numFmtId="0" fontId="24" fillId="0" borderId="0" xfId="0" applyFont="1" applyFill="1" applyBorder="1"/>
    <xf numFmtId="165" fontId="3" fillId="5" borderId="2" xfId="0" applyNumberFormat="1" applyFont="1" applyFill="1" applyBorder="1"/>
    <xf numFmtId="0" fontId="4" fillId="11" borderId="4" xfId="0" applyFont="1" applyFill="1" applyBorder="1"/>
    <xf numFmtId="0" fontId="4" fillId="11" borderId="5" xfId="0" applyFont="1" applyFill="1" applyBorder="1"/>
    <xf numFmtId="0" fontId="3" fillId="0" borderId="4" xfId="0" applyFont="1" applyFill="1" applyBorder="1" applyProtection="1">
      <protection locked="0"/>
    </xf>
    <xf numFmtId="0" fontId="3" fillId="0" borderId="5" xfId="0" applyFont="1" applyFill="1" applyBorder="1" applyProtection="1">
      <protection locked="0"/>
    </xf>
    <xf numFmtId="164" fontId="3" fillId="0" borderId="1" xfId="0" applyNumberFormat="1" applyFont="1" applyFill="1" applyBorder="1" applyProtection="1">
      <protection locked="0"/>
    </xf>
    <xf numFmtId="164" fontId="3" fillId="0" borderId="0" xfId="0" applyNumberFormat="1" applyFont="1" applyFill="1" applyBorder="1" applyProtection="1">
      <protection locked="0"/>
    </xf>
    <xf numFmtId="173" fontId="3" fillId="5" borderId="0" xfId="0" applyNumberFormat="1" applyFont="1" applyFill="1" applyBorder="1"/>
    <xf numFmtId="174" fontId="3" fillId="5" borderId="0" xfId="0" applyNumberFormat="1" applyFont="1" applyFill="1" applyBorder="1"/>
    <xf numFmtId="0" fontId="3" fillId="14" borderId="0" xfId="0" applyFont="1" applyFill="1" applyBorder="1"/>
    <xf numFmtId="0" fontId="3" fillId="14" borderId="0" xfId="0" quotePrefix="1" applyFont="1" applyFill="1" applyBorder="1"/>
    <xf numFmtId="0" fontId="4" fillId="7" borderId="3" xfId="0" applyFont="1" applyFill="1" applyBorder="1"/>
    <xf numFmtId="166" fontId="2" fillId="4" borderId="9" xfId="0" applyNumberFormat="1" applyFont="1" applyFill="1" applyBorder="1" applyProtection="1"/>
    <xf numFmtId="0" fontId="4" fillId="7" borderId="0" xfId="0" applyFont="1" applyFill="1" applyBorder="1"/>
    <xf numFmtId="0" fontId="4" fillId="7" borderId="1" xfId="0" applyFont="1" applyFill="1" applyBorder="1"/>
    <xf numFmtId="0" fontId="3" fillId="7" borderId="0" xfId="0" applyFont="1" applyFill="1" applyBorder="1"/>
    <xf numFmtId="0" fontId="3" fillId="7" borderId="1" xfId="0" applyFont="1" applyFill="1" applyBorder="1"/>
    <xf numFmtId="0" fontId="4" fillId="7" borderId="2" xfId="0" applyFont="1" applyFill="1" applyBorder="1"/>
    <xf numFmtId="0" fontId="3" fillId="7" borderId="2" xfId="0" applyFont="1" applyFill="1" applyBorder="1"/>
    <xf numFmtId="0" fontId="3" fillId="10" borderId="0" xfId="0" applyFont="1" applyFill="1"/>
    <xf numFmtId="0" fontId="4" fillId="9" borderId="0" xfId="0" applyFont="1" applyFill="1" applyAlignment="1">
      <alignment horizontal="center"/>
    </xf>
    <xf numFmtId="164" fontId="3" fillId="10" borderId="0" xfId="0" applyNumberFormat="1" applyFont="1" applyFill="1" applyBorder="1"/>
    <xf numFmtId="0" fontId="4" fillId="15" borderId="0" xfId="0" applyFont="1" applyFill="1" applyBorder="1"/>
    <xf numFmtId="0" fontId="4" fillId="15" borderId="3" xfId="0" applyFont="1" applyFill="1" applyBorder="1" applyAlignment="1">
      <alignment horizontal="center"/>
    </xf>
    <xf numFmtId="0" fontId="4" fillId="15" borderId="0" xfId="0" applyFont="1" applyFill="1" applyAlignment="1">
      <alignment horizontal="center"/>
    </xf>
    <xf numFmtId="0" fontId="4" fillId="15" borderId="0" xfId="0" applyFont="1" applyFill="1" applyBorder="1" applyAlignment="1">
      <alignment horizontal="center"/>
    </xf>
    <xf numFmtId="0" fontId="4" fillId="15" borderId="0" xfId="0" applyFont="1" applyFill="1" applyBorder="1" applyAlignment="1">
      <alignment horizontal="center" vertical="top" wrapText="1"/>
    </xf>
    <xf numFmtId="0" fontId="4" fillId="15" borderId="2" xfId="0" applyFont="1" applyFill="1" applyBorder="1" applyAlignment="1">
      <alignment horizontal="center"/>
    </xf>
    <xf numFmtId="0" fontId="4" fillId="15" borderId="3" xfId="0" applyFont="1" applyFill="1" applyBorder="1"/>
    <xf numFmtId="0" fontId="4" fillId="15" borderId="0" xfId="0" applyFont="1" applyFill="1"/>
    <xf numFmtId="0" fontId="4" fillId="15" borderId="2" xfId="0" applyFont="1" applyFill="1" applyBorder="1"/>
    <xf numFmtId="0" fontId="4" fillId="11" borderId="11" xfId="0" applyFont="1" applyFill="1" applyBorder="1"/>
    <xf numFmtId="0" fontId="3" fillId="11" borderId="2" xfId="0" applyFont="1" applyFill="1" applyBorder="1" applyAlignment="1">
      <alignment horizontal="right"/>
    </xf>
    <xf numFmtId="2" fontId="4" fillId="11" borderId="2" xfId="0" applyNumberFormat="1" applyFont="1" applyFill="1" applyBorder="1"/>
    <xf numFmtId="0" fontId="3" fillId="11" borderId="2" xfId="0" applyFont="1" applyFill="1" applyBorder="1" applyAlignment="1">
      <alignment horizontal="left"/>
    </xf>
    <xf numFmtId="0" fontId="4" fillId="11" borderId="0" xfId="0" applyFont="1" applyFill="1" applyBorder="1" applyAlignment="1">
      <alignment horizontal="right"/>
    </xf>
    <xf numFmtId="164" fontId="4" fillId="11" borderId="0" xfId="0" applyNumberFormat="1" applyFont="1" applyFill="1" applyBorder="1"/>
    <xf numFmtId="1" fontId="4" fillId="11" borderId="0" xfId="0" applyNumberFormat="1" applyFont="1" applyFill="1" applyBorder="1"/>
    <xf numFmtId="0" fontId="4" fillId="0" borderId="6" xfId="0" applyFont="1" applyFill="1" applyBorder="1"/>
    <xf numFmtId="0" fontId="4" fillId="10" borderId="3" xfId="0" applyFont="1" applyFill="1" applyBorder="1" applyAlignment="1">
      <alignment horizontal="center"/>
    </xf>
    <xf numFmtId="0" fontId="4" fillId="9" borderId="3" xfId="0" applyFont="1" applyFill="1" applyBorder="1"/>
    <xf numFmtId="0" fontId="27" fillId="0" borderId="6" xfId="0" applyFont="1" applyBorder="1"/>
    <xf numFmtId="0" fontId="27" fillId="0" borderId="0" xfId="0" applyFont="1" applyBorder="1"/>
    <xf numFmtId="0" fontId="27" fillId="0" borderId="11" xfId="0" applyFont="1" applyBorder="1"/>
    <xf numFmtId="0" fontId="27" fillId="0" borderId="2" xfId="0" applyFont="1" applyBorder="1"/>
    <xf numFmtId="0" fontId="27" fillId="0" borderId="7" xfId="0" applyFont="1" applyBorder="1"/>
    <xf numFmtId="0" fontId="27" fillId="0" borderId="9" xfId="0" applyFont="1" applyBorder="1"/>
    <xf numFmtId="0" fontId="27" fillId="10" borderId="0" xfId="0" applyFont="1" applyFill="1"/>
    <xf numFmtId="0" fontId="26" fillId="10" borderId="0" xfId="0" applyFont="1" applyFill="1"/>
    <xf numFmtId="2" fontId="27" fillId="10" borderId="0" xfId="0" applyNumberFormat="1" applyFont="1" applyFill="1"/>
    <xf numFmtId="2" fontId="27" fillId="10" borderId="12" xfId="0" applyNumberFormat="1" applyFont="1" applyFill="1" applyBorder="1"/>
    <xf numFmtId="1" fontId="27" fillId="10" borderId="0" xfId="0" applyNumberFormat="1" applyFont="1" applyFill="1"/>
    <xf numFmtId="1" fontId="27" fillId="10" borderId="12" xfId="0" applyNumberFormat="1" applyFont="1" applyFill="1" applyBorder="1"/>
    <xf numFmtId="164" fontId="27" fillId="10" borderId="12" xfId="0" applyNumberFormat="1" applyFont="1" applyFill="1" applyBorder="1"/>
    <xf numFmtId="164" fontId="26" fillId="10" borderId="12" xfId="0" applyNumberFormat="1" applyFont="1" applyFill="1" applyBorder="1"/>
    <xf numFmtId="2" fontId="26" fillId="10" borderId="12" xfId="0" applyNumberFormat="1" applyFont="1" applyFill="1" applyBorder="1"/>
    <xf numFmtId="0" fontId="27" fillId="9" borderId="0" xfId="0" applyFont="1" applyFill="1"/>
    <xf numFmtId="0" fontId="26" fillId="9" borderId="0" xfId="0" applyFont="1" applyFill="1" applyAlignment="1">
      <alignment horizontal="center"/>
    </xf>
    <xf numFmtId="0" fontId="27" fillId="10" borderId="2" xfId="0" applyFont="1" applyFill="1" applyBorder="1"/>
    <xf numFmtId="0" fontId="4" fillId="3" borderId="3" xfId="0" applyFont="1" applyFill="1" applyBorder="1"/>
    <xf numFmtId="0" fontId="3" fillId="3" borderId="3" xfId="0" applyFont="1" applyFill="1" applyBorder="1"/>
    <xf numFmtId="0" fontId="4" fillId="3" borderId="3" xfId="0" applyFont="1" applyFill="1" applyBorder="1" applyAlignment="1">
      <alignment horizontal="center"/>
    </xf>
    <xf numFmtId="0" fontId="0" fillId="3" borderId="0" xfId="0" applyFill="1"/>
    <xf numFmtId="0" fontId="4" fillId="8" borderId="3" xfId="0" applyFont="1" applyFill="1" applyBorder="1" applyAlignment="1">
      <alignment horizontal="center"/>
    </xf>
    <xf numFmtId="0" fontId="0" fillId="8" borderId="0" xfId="0" applyFill="1"/>
    <xf numFmtId="1" fontId="3" fillId="4" borderId="10" xfId="0" applyNumberFormat="1" applyFont="1" applyFill="1" applyBorder="1"/>
    <xf numFmtId="0" fontId="11" fillId="4" borderId="1" xfId="0" applyFont="1" applyFill="1" applyBorder="1"/>
    <xf numFmtId="0" fontId="3" fillId="4" borderId="1" xfId="0" applyFont="1" applyFill="1" applyBorder="1" applyProtection="1">
      <protection locked="0"/>
    </xf>
    <xf numFmtId="0" fontId="11" fillId="4" borderId="6" xfId="0" applyFont="1" applyFill="1" applyBorder="1"/>
    <xf numFmtId="0" fontId="11" fillId="4" borderId="0" xfId="0" applyFont="1" applyFill="1" applyBorder="1"/>
    <xf numFmtId="0" fontId="3" fillId="4" borderId="6" xfId="0" applyFont="1" applyFill="1" applyBorder="1"/>
    <xf numFmtId="1" fontId="3" fillId="0" borderId="6" xfId="0" applyNumberFormat="1" applyFont="1" applyFill="1" applyBorder="1"/>
    <xf numFmtId="0" fontId="3" fillId="4" borderId="3" xfId="0" applyFont="1" applyFill="1" applyBorder="1"/>
    <xf numFmtId="1" fontId="3" fillId="4" borderId="0" xfId="0" applyNumberFormat="1" applyFont="1" applyFill="1" applyBorder="1"/>
    <xf numFmtId="0" fontId="2" fillId="10" borderId="2" xfId="0" applyFont="1" applyFill="1" applyBorder="1"/>
    <xf numFmtId="0" fontId="27" fillId="10" borderId="0" xfId="0" applyFont="1" applyFill="1" applyBorder="1"/>
    <xf numFmtId="0" fontId="27" fillId="10" borderId="1" xfId="0" applyFont="1" applyFill="1" applyBorder="1"/>
    <xf numFmtId="0" fontId="27" fillId="10" borderId="8" xfId="0" applyFont="1" applyFill="1" applyBorder="1"/>
    <xf numFmtId="0" fontId="27" fillId="10" borderId="7" xfId="0" applyFont="1" applyFill="1" applyBorder="1"/>
    <xf numFmtId="0" fontId="27" fillId="10" borderId="9" xfId="0" applyFont="1" applyFill="1" applyBorder="1"/>
    <xf numFmtId="0" fontId="26" fillId="10" borderId="0" xfId="0" applyFont="1" applyFill="1" applyBorder="1"/>
    <xf numFmtId="0" fontId="27" fillId="10" borderId="10" xfId="0" applyFont="1" applyFill="1" applyBorder="1"/>
    <xf numFmtId="0" fontId="26" fillId="10" borderId="6" xfId="0" applyFont="1" applyFill="1" applyBorder="1"/>
    <xf numFmtId="0" fontId="27" fillId="10" borderId="6" xfId="0" applyFont="1" applyFill="1" applyBorder="1"/>
    <xf numFmtId="1" fontId="27" fillId="10" borderId="7" xfId="0" applyNumberFormat="1" applyFont="1" applyFill="1" applyBorder="1"/>
    <xf numFmtId="1" fontId="27" fillId="10" borderId="0" xfId="0" applyNumberFormat="1" applyFont="1" applyFill="1" applyBorder="1"/>
    <xf numFmtId="0" fontId="27" fillId="10" borderId="11" xfId="0" applyFont="1" applyFill="1" applyBorder="1"/>
    <xf numFmtId="0" fontId="26" fillId="10" borderId="1" xfId="0" applyFont="1" applyFill="1" applyBorder="1"/>
    <xf numFmtId="1" fontId="27" fillId="10" borderId="6" xfId="0" applyNumberFormat="1" applyFont="1" applyFill="1" applyBorder="1"/>
    <xf numFmtId="1" fontId="27" fillId="10" borderId="11" xfId="0" applyNumberFormat="1" applyFont="1" applyFill="1" applyBorder="1"/>
    <xf numFmtId="1" fontId="27" fillId="10" borderId="2" xfId="0" applyNumberFormat="1" applyFont="1" applyFill="1" applyBorder="1"/>
    <xf numFmtId="0" fontId="26" fillId="10" borderId="4" xfId="0" applyFont="1" applyFill="1" applyBorder="1"/>
    <xf numFmtId="0" fontId="27" fillId="10" borderId="3" xfId="0" applyFont="1" applyFill="1" applyBorder="1"/>
    <xf numFmtId="0" fontId="27" fillId="10" borderId="5" xfId="0" applyFont="1" applyFill="1" applyBorder="1"/>
    <xf numFmtId="0" fontId="26" fillId="10" borderId="3" xfId="0" applyFont="1" applyFill="1" applyBorder="1" applyAlignment="1">
      <alignment horizontal="center"/>
    </xf>
    <xf numFmtId="0" fontId="26" fillId="10" borderId="0" xfId="0" applyFont="1" applyFill="1" applyAlignment="1">
      <alignment horizontal="center"/>
    </xf>
    <xf numFmtId="0" fontId="26" fillId="10" borderId="2" xfId="0" applyFont="1" applyFill="1" applyBorder="1" applyAlignment="1">
      <alignment horizontal="center"/>
    </xf>
    <xf numFmtId="0" fontId="27" fillId="10" borderId="0" xfId="0" applyFont="1" applyFill="1" applyAlignment="1">
      <alignment horizontal="right"/>
    </xf>
    <xf numFmtId="164" fontId="27" fillId="10" borderId="0" xfId="0" applyNumberFormat="1" applyFont="1" applyFill="1"/>
    <xf numFmtId="1" fontId="27" fillId="10" borderId="0" xfId="0" applyNumberFormat="1" applyFont="1" applyFill="1" applyAlignment="1">
      <alignment horizontal="right"/>
    </xf>
    <xf numFmtId="0" fontId="4" fillId="10" borderId="3" xfId="0" applyFont="1" applyFill="1" applyBorder="1" applyAlignment="1">
      <alignment horizontal="right"/>
    </xf>
    <xf numFmtId="0" fontId="4" fillId="10" borderId="3" xfId="0" applyFont="1" applyFill="1" applyBorder="1" applyAlignment="1">
      <alignment horizontal="left"/>
    </xf>
    <xf numFmtId="0" fontId="27" fillId="10" borderId="0" xfId="0" applyFont="1" applyFill="1" applyAlignment="1">
      <alignment horizontal="left"/>
    </xf>
    <xf numFmtId="0" fontId="0" fillId="16" borderId="0" xfId="0" applyFill="1"/>
    <xf numFmtId="3" fontId="0" fillId="16" borderId="0" xfId="0" applyNumberFormat="1" applyFill="1"/>
    <xf numFmtId="0" fontId="28" fillId="16" borderId="1" xfId="0" applyFont="1" applyFill="1" applyBorder="1"/>
    <xf numFmtId="0" fontId="0" fillId="16" borderId="1" xfId="0" applyFill="1" applyBorder="1"/>
    <xf numFmtId="0" fontId="0" fillId="16" borderId="2" xfId="0" applyFill="1" applyBorder="1"/>
    <xf numFmtId="3" fontId="0" fillId="16" borderId="2" xfId="0" applyNumberFormat="1" applyFill="1" applyBorder="1"/>
    <xf numFmtId="0" fontId="0" fillId="16" borderId="0" xfId="0" applyFill="1" applyBorder="1"/>
    <xf numFmtId="2" fontId="0" fillId="16" borderId="0" xfId="0" applyNumberFormat="1" applyFill="1"/>
    <xf numFmtId="2" fontId="0" fillId="16" borderId="2" xfId="0" applyNumberFormat="1" applyFill="1" applyBorder="1"/>
    <xf numFmtId="0" fontId="28" fillId="16" borderId="1" xfId="0" applyFont="1" applyFill="1" applyBorder="1" applyAlignment="1">
      <alignment horizontal="right"/>
    </xf>
    <xf numFmtId="0" fontId="28" fillId="16" borderId="1" xfId="0" applyFont="1" applyFill="1" applyBorder="1" applyAlignment="1">
      <alignment horizontal="left"/>
    </xf>
    <xf numFmtId="164" fontId="3" fillId="8" borderId="0" xfId="0" applyNumberFormat="1" applyFont="1" applyFill="1" applyBorder="1"/>
    <xf numFmtId="0" fontId="15" fillId="4" borderId="6" xfId="0" applyFont="1" applyFill="1" applyBorder="1"/>
    <xf numFmtId="164" fontId="3" fillId="11" borderId="7" xfId="0" applyNumberFormat="1" applyFont="1" applyFill="1" applyBorder="1"/>
    <xf numFmtId="164" fontId="4" fillId="11" borderId="7" xfId="0" applyNumberFormat="1" applyFont="1" applyFill="1" applyBorder="1"/>
    <xf numFmtId="164" fontId="4" fillId="11" borderId="9" xfId="0" applyNumberFormat="1" applyFont="1" applyFill="1" applyBorder="1"/>
    <xf numFmtId="175" fontId="3" fillId="11" borderId="1" xfId="0" applyNumberFormat="1" applyFont="1" applyFill="1" applyBorder="1"/>
    <xf numFmtId="175" fontId="3" fillId="11" borderId="0" xfId="0" applyNumberFormat="1" applyFont="1" applyFill="1" applyBorder="1"/>
    <xf numFmtId="175" fontId="3" fillId="11" borderId="2" xfId="0" applyNumberFormat="1" applyFont="1" applyFill="1" applyBorder="1"/>
    <xf numFmtId="0" fontId="4" fillId="15" borderId="0" xfId="0" applyFont="1" applyFill="1" applyAlignment="1">
      <alignment horizontal="left"/>
    </xf>
    <xf numFmtId="175" fontId="3" fillId="11" borderId="8" xfId="0" applyNumberFormat="1" applyFont="1" applyFill="1" applyBorder="1"/>
    <xf numFmtId="175" fontId="3" fillId="11" borderId="7" xfId="0" applyNumberFormat="1" applyFont="1" applyFill="1" applyBorder="1"/>
    <xf numFmtId="175" fontId="3" fillId="11" borderId="9" xfId="0" applyNumberFormat="1" applyFont="1" applyFill="1" applyBorder="1"/>
    <xf numFmtId="0" fontId="3" fillId="11" borderId="5" xfId="0" applyFont="1" applyFill="1" applyBorder="1"/>
    <xf numFmtId="0" fontId="4" fillId="8" borderId="4" xfId="0" applyFont="1" applyFill="1" applyBorder="1"/>
    <xf numFmtId="0" fontId="4" fillId="8" borderId="5" xfId="0" applyFont="1" applyFill="1" applyBorder="1"/>
    <xf numFmtId="0" fontId="4" fillId="8" borderId="6" xfId="0" applyFont="1" applyFill="1" applyBorder="1"/>
    <xf numFmtId="0" fontId="4" fillId="8" borderId="7" xfId="0" applyFont="1" applyFill="1" applyBorder="1" applyAlignment="1">
      <alignment horizontal="center"/>
    </xf>
    <xf numFmtId="0" fontId="3" fillId="8" borderId="7" xfId="0" applyFont="1" applyFill="1" applyBorder="1" applyAlignment="1">
      <alignment horizontal="center"/>
    </xf>
    <xf numFmtId="0" fontId="3" fillId="8" borderId="6" xfId="0" applyFont="1" applyFill="1" applyBorder="1"/>
    <xf numFmtId="0" fontId="4" fillId="8" borderId="11" xfId="0" applyFont="1" applyFill="1" applyBorder="1"/>
    <xf numFmtId="164" fontId="3" fillId="8" borderId="2" xfId="0" applyNumberFormat="1" applyFont="1" applyFill="1" applyBorder="1"/>
    <xf numFmtId="0" fontId="3" fillId="8" borderId="9" xfId="0" applyFont="1" applyFill="1" applyBorder="1" applyAlignment="1">
      <alignment horizontal="center"/>
    </xf>
    <xf numFmtId="2" fontId="4" fillId="11" borderId="0" xfId="0" applyNumberFormat="1" applyFont="1" applyFill="1" applyBorder="1"/>
    <xf numFmtId="174" fontId="3" fillId="11" borderId="2" xfId="0" applyNumberFormat="1" applyFont="1" applyFill="1" applyBorder="1"/>
    <xf numFmtId="0" fontId="27" fillId="3" borderId="0" xfId="0" applyFont="1" applyFill="1"/>
    <xf numFmtId="0" fontId="27" fillId="8" borderId="0" xfId="0" applyFont="1" applyFill="1"/>
    <xf numFmtId="2" fontId="27" fillId="3" borderId="0" xfId="0" applyNumberFormat="1" applyFont="1" applyFill="1"/>
    <xf numFmtId="0" fontId="26" fillId="8" borderId="0" xfId="0" applyFont="1" applyFill="1" applyAlignment="1">
      <alignment horizontal="center"/>
    </xf>
    <xf numFmtId="172" fontId="27" fillId="3" borderId="0" xfId="0" applyNumberFormat="1" applyFont="1" applyFill="1"/>
    <xf numFmtId="4" fontId="2" fillId="4" borderId="8" xfId="2" applyNumberFormat="1" applyFont="1" applyFill="1" applyBorder="1" applyProtection="1"/>
    <xf numFmtId="0" fontId="3" fillId="17" borderId="0" xfId="0" applyFont="1" applyFill="1"/>
    <xf numFmtId="0" fontId="3" fillId="17" borderId="0" xfId="0" applyFont="1" applyFill="1" applyBorder="1"/>
    <xf numFmtId="0" fontId="3" fillId="17" borderId="1" xfId="0" applyFont="1" applyFill="1" applyBorder="1"/>
    <xf numFmtId="2" fontId="0" fillId="16" borderId="0" xfId="0" applyNumberFormat="1" applyFill="1" applyBorder="1"/>
    <xf numFmtId="2" fontId="0" fillId="16" borderId="1" xfId="0" applyNumberFormat="1" applyFont="1" applyFill="1" applyBorder="1" applyAlignment="1">
      <alignment horizontal="right"/>
    </xf>
    <xf numFmtId="2" fontId="4" fillId="12" borderId="2" xfId="0" applyNumberFormat="1" applyFont="1" applyFill="1" applyBorder="1"/>
    <xf numFmtId="0" fontId="11" fillId="12" borderId="0" xfId="0" applyFont="1" applyFill="1"/>
    <xf numFmtId="0" fontId="4" fillId="17" borderId="0" xfId="0" applyFont="1" applyFill="1" applyBorder="1" applyAlignment="1">
      <alignment horizontal="center"/>
    </xf>
    <xf numFmtId="0" fontId="3" fillId="17" borderId="0" xfId="0" applyFont="1" applyFill="1" applyBorder="1" applyAlignment="1">
      <alignment horizontal="center"/>
    </xf>
    <xf numFmtId="0" fontId="4" fillId="12" borderId="0" xfId="0" applyFont="1" applyFill="1" applyBorder="1"/>
    <xf numFmtId="0" fontId="4" fillId="17" borderId="0" xfId="0" applyFont="1" applyFill="1" applyBorder="1"/>
    <xf numFmtId="2" fontId="4" fillId="12" borderId="0" xfId="0" applyNumberFormat="1" applyFont="1" applyFill="1" applyBorder="1"/>
    <xf numFmtId="0" fontId="3" fillId="0" borderId="10" xfId="0" applyFont="1" applyBorder="1"/>
    <xf numFmtId="0" fontId="3" fillId="0" borderId="1" xfId="0" applyFont="1" applyBorder="1"/>
    <xf numFmtId="0" fontId="3" fillId="0" borderId="6" xfId="0" applyFont="1" applyBorder="1"/>
    <xf numFmtId="2" fontId="3" fillId="0" borderId="0" xfId="0" applyNumberFormat="1" applyFont="1" applyBorder="1"/>
    <xf numFmtId="0" fontId="3" fillId="0" borderId="11" xfId="0" applyFont="1" applyBorder="1"/>
    <xf numFmtId="0" fontId="3" fillId="0" borderId="2" xfId="0" applyFont="1" applyBorder="1"/>
    <xf numFmtId="2" fontId="3" fillId="12" borderId="0" xfId="0" applyNumberFormat="1" applyFont="1" applyFill="1" applyBorder="1"/>
    <xf numFmtId="0" fontId="3" fillId="12" borderId="1" xfId="0" applyFont="1" applyFill="1" applyBorder="1"/>
    <xf numFmtId="0" fontId="3" fillId="12" borderId="0" xfId="0" applyFont="1" applyFill="1" applyBorder="1" applyAlignment="1">
      <alignment horizontal="center"/>
    </xf>
    <xf numFmtId="2" fontId="3" fillId="12" borderId="0" xfId="0" applyNumberFormat="1" applyFont="1" applyFill="1" applyBorder="1" applyAlignment="1">
      <alignment horizontal="center"/>
    </xf>
    <xf numFmtId="0" fontId="3" fillId="13" borderId="0" xfId="0" applyFont="1" applyFill="1" applyBorder="1" applyProtection="1">
      <protection locked="0"/>
    </xf>
    <xf numFmtId="0" fontId="3" fillId="0" borderId="15" xfId="0" applyFont="1" applyFill="1" applyBorder="1" applyProtection="1">
      <protection locked="0"/>
    </xf>
    <xf numFmtId="0" fontId="3" fillId="0" borderId="13" xfId="0" applyFont="1" applyFill="1" applyBorder="1" applyProtection="1">
      <protection locked="0"/>
    </xf>
    <xf numFmtId="0" fontId="3" fillId="0" borderId="14" xfId="0" applyFont="1" applyFill="1" applyBorder="1" applyProtection="1">
      <protection locked="0"/>
    </xf>
    <xf numFmtId="0" fontId="3" fillId="4" borderId="2" xfId="0" applyFont="1" applyFill="1" applyBorder="1" applyProtection="1">
      <protection locked="0"/>
    </xf>
    <xf numFmtId="0" fontId="0" fillId="12" borderId="0" xfId="0" applyFill="1"/>
    <xf numFmtId="0" fontId="4" fillId="17" borderId="1" xfId="0" applyFont="1" applyFill="1" applyBorder="1" applyAlignment="1">
      <alignment horizontal="center"/>
    </xf>
    <xf numFmtId="2" fontId="4" fillId="12" borderId="2" xfId="0" applyNumberFormat="1" applyFont="1" applyFill="1" applyBorder="1" applyAlignment="1">
      <alignment horizontal="center"/>
    </xf>
    <xf numFmtId="2" fontId="4" fillId="12" borderId="0" xfId="0" applyNumberFormat="1" applyFont="1" applyFill="1" applyBorder="1" applyAlignment="1">
      <alignment horizontal="center"/>
    </xf>
    <xf numFmtId="0" fontId="3" fillId="17" borderId="2" xfId="0" applyFont="1" applyFill="1" applyBorder="1"/>
    <xf numFmtId="0" fontId="4" fillId="4" borderId="1" xfId="0" applyFont="1" applyFill="1" applyBorder="1" applyAlignment="1">
      <alignment horizontal="right"/>
    </xf>
    <xf numFmtId="168" fontId="3" fillId="11" borderId="0" xfId="0" applyNumberFormat="1" applyFont="1" applyFill="1" applyBorder="1" applyAlignment="1">
      <alignment horizontal="right"/>
    </xf>
    <xf numFmtId="165" fontId="3" fillId="11" borderId="0" xfId="0" applyNumberFormat="1" applyFont="1" applyFill="1" applyBorder="1"/>
    <xf numFmtId="171" fontId="3" fillId="11" borderId="0" xfId="0" applyNumberFormat="1" applyFont="1" applyFill="1" applyBorder="1"/>
    <xf numFmtId="176" fontId="3" fillId="11" borderId="0" xfId="0" applyNumberFormat="1" applyFont="1" applyFill="1" applyBorder="1"/>
    <xf numFmtId="174" fontId="3" fillId="11" borderId="0" xfId="0" applyNumberFormat="1" applyFont="1" applyFill="1" applyBorder="1"/>
    <xf numFmtId="0" fontId="30" fillId="10" borderId="0" xfId="0" applyFont="1" applyFill="1"/>
    <xf numFmtId="0" fontId="3" fillId="0" borderId="0" xfId="0" applyFont="1" applyBorder="1" applyAlignment="1">
      <alignment horizontal="center"/>
    </xf>
    <xf numFmtId="0" fontId="3" fillId="13" borderId="0" xfId="0" applyFont="1" applyFill="1" applyBorder="1"/>
    <xf numFmtId="0" fontId="11" fillId="13" borderId="0" xfId="0" applyFont="1" applyFill="1" applyBorder="1"/>
    <xf numFmtId="0" fontId="31" fillId="0" borderId="0" xfId="0" applyFont="1" applyBorder="1"/>
    <xf numFmtId="0" fontId="11" fillId="12" borderId="1" xfId="0" applyFont="1" applyFill="1" applyBorder="1"/>
    <xf numFmtId="0" fontId="4" fillId="0" borderId="10" xfId="0" applyFont="1" applyFill="1" applyBorder="1"/>
    <xf numFmtId="0" fontId="3" fillId="0" borderId="8" xfId="0" applyFont="1" applyBorder="1"/>
    <xf numFmtId="0" fontId="32" fillId="0" borderId="10" xfId="0" applyFont="1" applyBorder="1"/>
    <xf numFmtId="0" fontId="32" fillId="0" borderId="1" xfId="0" applyFont="1" applyBorder="1"/>
    <xf numFmtId="0" fontId="32" fillId="0" borderId="8" xfId="0" applyFont="1" applyBorder="1"/>
    <xf numFmtId="0" fontId="4" fillId="12" borderId="0" xfId="0" applyFont="1" applyFill="1" applyBorder="1" applyAlignment="1">
      <alignment horizontal="right"/>
    </xf>
    <xf numFmtId="0" fontId="3" fillId="0" borderId="7" xfId="0" applyFont="1" applyBorder="1"/>
    <xf numFmtId="0" fontId="32" fillId="0" borderId="6" xfId="0" applyFont="1" applyBorder="1"/>
    <xf numFmtId="0" fontId="32" fillId="0" borderId="0" xfId="0" applyFont="1" applyBorder="1"/>
    <xf numFmtId="0" fontId="32" fillId="0" borderId="7" xfId="0" applyFont="1" applyBorder="1"/>
    <xf numFmtId="0" fontId="3" fillId="12" borderId="0" xfId="0" applyFont="1" applyFill="1" applyBorder="1" applyAlignment="1">
      <alignment horizontal="right"/>
    </xf>
    <xf numFmtId="0" fontId="4" fillId="18" borderId="0" xfId="0" applyFont="1" applyFill="1" applyBorder="1" applyAlignment="1">
      <alignment horizontal="center"/>
    </xf>
    <xf numFmtId="1" fontId="32" fillId="0" borderId="7" xfId="0" applyNumberFormat="1" applyFont="1" applyBorder="1"/>
    <xf numFmtId="165" fontId="3" fillId="12" borderId="0" xfId="0" applyNumberFormat="1" applyFont="1" applyFill="1" applyBorder="1" applyAlignment="1">
      <alignment horizontal="center"/>
    </xf>
    <xf numFmtId="0" fontId="3" fillId="19" borderId="0" xfId="0" applyFont="1" applyFill="1" applyBorder="1"/>
    <xf numFmtId="0" fontId="4" fillId="0" borderId="11" xfId="0" applyFont="1" applyFill="1" applyBorder="1"/>
    <xf numFmtId="0" fontId="4" fillId="0" borderId="2" xfId="0" applyFont="1" applyFill="1" applyBorder="1" applyProtection="1"/>
    <xf numFmtId="0" fontId="3" fillId="0" borderId="9" xfId="0" applyFont="1" applyBorder="1"/>
    <xf numFmtId="165" fontId="4" fillId="12" borderId="0" xfId="0" applyNumberFormat="1" applyFont="1" applyFill="1" applyBorder="1" applyAlignment="1">
      <alignment horizontal="center"/>
    </xf>
    <xf numFmtId="0" fontId="4" fillId="0" borderId="10" xfId="0" applyFont="1" applyFill="1" applyBorder="1" applyProtection="1"/>
    <xf numFmtId="0" fontId="3" fillId="0" borderId="1" xfId="0" applyFont="1" applyFill="1" applyBorder="1" applyProtection="1"/>
    <xf numFmtId="0" fontId="3" fillId="0" borderId="6" xfId="0" applyFont="1" applyFill="1" applyBorder="1" applyProtection="1"/>
    <xf numFmtId="0" fontId="3" fillId="0" borderId="0" xfId="0" applyFont="1" applyFill="1" applyBorder="1" applyProtection="1"/>
    <xf numFmtId="0" fontId="11" fillId="12" borderId="0" xfId="0" applyFont="1" applyFill="1" applyBorder="1"/>
    <xf numFmtId="0" fontId="3" fillId="0" borderId="11" xfId="0" applyFont="1" applyFill="1" applyBorder="1" applyProtection="1"/>
    <xf numFmtId="0" fontId="3" fillId="0" borderId="2" xfId="0" applyFont="1" applyFill="1" applyBorder="1" applyProtection="1"/>
    <xf numFmtId="0" fontId="3" fillId="0" borderId="0" xfId="0" applyFont="1" applyBorder="1" applyAlignment="1">
      <alignment horizontal="right" vertical="center"/>
    </xf>
    <xf numFmtId="0" fontId="3" fillId="0" borderId="0" xfId="0" applyFont="1" applyBorder="1" applyAlignment="1">
      <alignment horizontal="right"/>
    </xf>
    <xf numFmtId="2" fontId="3" fillId="0" borderId="0" xfId="0" applyNumberFormat="1" applyFont="1" applyBorder="1" applyAlignment="1">
      <alignment horizontal="right" vertical="center"/>
    </xf>
    <xf numFmtId="0" fontId="4" fillId="0" borderId="0" xfId="0" applyFont="1" applyBorder="1" applyAlignment="1">
      <alignment horizontal="right"/>
    </xf>
    <xf numFmtId="0" fontId="33" fillId="0" borderId="6" xfId="0" applyFont="1" applyBorder="1"/>
    <xf numFmtId="0" fontId="32" fillId="0" borderId="6" xfId="0" applyFont="1" applyBorder="1" applyAlignment="1">
      <alignment horizontal="left"/>
    </xf>
    <xf numFmtId="0" fontId="34" fillId="0" borderId="6" xfId="0" applyFont="1" applyBorder="1"/>
    <xf numFmtId="1" fontId="34" fillId="0" borderId="0" xfId="0" applyNumberFormat="1" applyFont="1" applyBorder="1"/>
    <xf numFmtId="1" fontId="34" fillId="0" borderId="7" xfId="0" applyNumberFormat="1" applyFont="1" applyBorder="1"/>
    <xf numFmtId="0" fontId="32" fillId="0" borderId="2" xfId="0" applyFont="1" applyBorder="1"/>
    <xf numFmtId="0" fontId="32" fillId="0" borderId="9" xfId="0" applyFont="1" applyBorder="1"/>
    <xf numFmtId="2" fontId="3" fillId="12" borderId="0" xfId="0" applyNumberFormat="1" applyFont="1" applyFill="1" applyBorder="1" applyAlignment="1">
      <alignment horizontal="right"/>
    </xf>
    <xf numFmtId="0" fontId="0" fillId="0" borderId="0" xfId="0" applyBorder="1"/>
    <xf numFmtId="0" fontId="27" fillId="0" borderId="10" xfId="0" applyFont="1" applyBorder="1" applyAlignment="1">
      <alignment wrapText="1"/>
    </xf>
    <xf numFmtId="0" fontId="27" fillId="0" borderId="1" xfId="0" applyFont="1" applyBorder="1" applyAlignment="1">
      <alignment wrapText="1"/>
    </xf>
    <xf numFmtId="0" fontId="27" fillId="0" borderId="1" xfId="0" applyFont="1" applyBorder="1" applyAlignment="1">
      <alignment vertical="top" wrapText="1"/>
    </xf>
    <xf numFmtId="0" fontId="27" fillId="0" borderId="8" xfId="0" applyFont="1" applyBorder="1" applyAlignment="1">
      <alignment vertical="top" wrapText="1"/>
    </xf>
    <xf numFmtId="0" fontId="27" fillId="0" borderId="6" xfId="0" applyFont="1" applyBorder="1" applyAlignment="1">
      <alignment wrapText="1"/>
    </xf>
    <xf numFmtId="0" fontId="27" fillId="0" borderId="0" xfId="0" applyFont="1" applyBorder="1" applyAlignment="1">
      <alignment wrapText="1"/>
    </xf>
    <xf numFmtId="0" fontId="27" fillId="0" borderId="0" xfId="0" applyFont="1" applyBorder="1" applyAlignment="1">
      <alignment vertical="top" wrapText="1"/>
    </xf>
    <xf numFmtId="0" fontId="27" fillId="0" borderId="7" xfId="0" applyFont="1" applyBorder="1" applyAlignment="1">
      <alignment wrapText="1"/>
    </xf>
    <xf numFmtId="0" fontId="27" fillId="0" borderId="11" xfId="0" applyFont="1" applyBorder="1" applyAlignment="1">
      <alignment wrapText="1"/>
    </xf>
    <xf numFmtId="0" fontId="27" fillId="0" borderId="2" xfId="0" applyFont="1" applyBorder="1" applyAlignment="1">
      <alignment wrapText="1"/>
    </xf>
    <xf numFmtId="0" fontId="27" fillId="0" borderId="2" xfId="0" applyFont="1" applyBorder="1" applyAlignment="1">
      <alignment vertical="top" wrapText="1"/>
    </xf>
    <xf numFmtId="0" fontId="27" fillId="0" borderId="9" xfId="0" applyFont="1" applyBorder="1" applyAlignment="1">
      <alignment wrapText="1"/>
    </xf>
    <xf numFmtId="2" fontId="4" fillId="12" borderId="0" xfId="0" applyNumberFormat="1" applyFont="1" applyFill="1" applyBorder="1" applyAlignment="1">
      <alignment horizontal="right"/>
    </xf>
    <xf numFmtId="173" fontId="3" fillId="12" borderId="0" xfId="0" applyNumberFormat="1" applyFont="1" applyFill="1" applyBorder="1"/>
    <xf numFmtId="0" fontId="4" fillId="12" borderId="2" xfId="0" applyFont="1" applyFill="1" applyBorder="1" applyAlignment="1">
      <alignment horizontal="right"/>
    </xf>
    <xf numFmtId="0" fontId="35" fillId="13" borderId="0" xfId="0" applyFont="1" applyFill="1" applyBorder="1"/>
    <xf numFmtId="0" fontId="4" fillId="16" borderId="3" xfId="0" applyFont="1" applyFill="1" applyBorder="1" applyAlignment="1"/>
    <xf numFmtId="0" fontId="4" fillId="16" borderId="3" xfId="0" applyFont="1" applyFill="1" applyBorder="1" applyAlignment="1">
      <alignment horizontal="center"/>
    </xf>
    <xf numFmtId="0" fontId="4" fillId="16" borderId="3" xfId="0" applyFont="1" applyFill="1" applyBorder="1" applyAlignment="1">
      <alignment horizontal="right"/>
    </xf>
    <xf numFmtId="0" fontId="4" fillId="20" borderId="3" xfId="0" applyFont="1" applyFill="1" applyBorder="1" applyAlignment="1">
      <alignment horizontal="center"/>
    </xf>
    <xf numFmtId="0" fontId="4" fillId="20" borderId="3" xfId="0" applyFont="1" applyFill="1" applyBorder="1"/>
    <xf numFmtId="0" fontId="3" fillId="16" borderId="0" xfId="0" applyFont="1" applyFill="1" applyBorder="1"/>
    <xf numFmtId="0" fontId="3" fillId="16" borderId="0" xfId="0" applyFont="1" applyFill="1" applyBorder="1" applyAlignment="1">
      <alignment horizontal="center"/>
    </xf>
    <xf numFmtId="0" fontId="3" fillId="20" borderId="0" xfId="0" applyFont="1" applyFill="1" applyBorder="1"/>
    <xf numFmtId="0" fontId="3" fillId="16" borderId="10" xfId="0" applyFont="1" applyFill="1" applyBorder="1" applyAlignment="1"/>
    <xf numFmtId="0" fontId="3" fillId="16" borderId="1" xfId="0" applyFont="1" applyFill="1" applyBorder="1" applyAlignment="1">
      <alignment horizontal="center"/>
    </xf>
    <xf numFmtId="0" fontId="3" fillId="16" borderId="8" xfId="0" applyFont="1" applyFill="1" applyBorder="1" applyAlignment="1">
      <alignment horizontal="right"/>
    </xf>
    <xf numFmtId="0" fontId="3" fillId="20" borderId="0" xfId="0" applyFont="1" applyFill="1" applyBorder="1" applyAlignment="1">
      <alignment horizontal="center"/>
    </xf>
    <xf numFmtId="0" fontId="3" fillId="16" borderId="6" xfId="0" applyFont="1" applyFill="1" applyBorder="1" applyAlignment="1"/>
    <xf numFmtId="0" fontId="3" fillId="16" borderId="7" xfId="0" applyFont="1" applyFill="1" applyBorder="1" applyAlignment="1">
      <alignment horizontal="right"/>
    </xf>
    <xf numFmtId="0" fontId="3" fillId="16" borderId="11" xfId="0" applyFont="1" applyFill="1" applyBorder="1" applyAlignment="1"/>
    <xf numFmtId="0" fontId="3" fillId="16" borderId="2" xfId="0" applyFont="1" applyFill="1" applyBorder="1" applyAlignment="1">
      <alignment horizontal="center"/>
    </xf>
    <xf numFmtId="0" fontId="3" fillId="16" borderId="9" xfId="0" applyFont="1" applyFill="1" applyBorder="1" applyAlignment="1">
      <alignment horizontal="right"/>
    </xf>
    <xf numFmtId="0" fontId="3" fillId="16" borderId="0" xfId="0" applyFont="1" applyFill="1" applyBorder="1" applyAlignment="1"/>
    <xf numFmtId="0" fontId="3" fillId="16" borderId="0" xfId="0" applyFont="1" applyFill="1" applyBorder="1" applyAlignment="1">
      <alignment horizontal="right"/>
    </xf>
    <xf numFmtId="0" fontId="3" fillId="16" borderId="2" xfId="0" applyFont="1" applyFill="1" applyBorder="1" applyAlignment="1"/>
    <xf numFmtId="0" fontId="3" fillId="16" borderId="1" xfId="0" applyFont="1" applyFill="1" applyBorder="1" applyAlignment="1"/>
    <xf numFmtId="0" fontId="3" fillId="16" borderId="1" xfId="0" applyFont="1" applyFill="1" applyBorder="1" applyAlignment="1">
      <alignment horizontal="right"/>
    </xf>
    <xf numFmtId="0" fontId="3" fillId="16" borderId="2" xfId="0" applyFont="1" applyFill="1" applyBorder="1" applyAlignment="1">
      <alignment horizontal="right"/>
    </xf>
    <xf numFmtId="0" fontId="4" fillId="16" borderId="0" xfId="0" applyFont="1" applyFill="1" applyBorder="1"/>
    <xf numFmtId="2" fontId="3" fillId="16" borderId="0" xfId="0" applyNumberFormat="1" applyFont="1" applyFill="1" applyBorder="1" applyAlignment="1">
      <alignment horizontal="center"/>
    </xf>
    <xf numFmtId="2" fontId="4" fillId="16" borderId="0" xfId="0" applyNumberFormat="1" applyFont="1" applyFill="1" applyBorder="1" applyAlignment="1">
      <alignment horizontal="left"/>
    </xf>
    <xf numFmtId="0" fontId="4" fillId="20" borderId="0" xfId="0" applyFont="1" applyFill="1" applyBorder="1" applyAlignment="1">
      <alignment horizontal="center"/>
    </xf>
    <xf numFmtId="0" fontId="3" fillId="16" borderId="0" xfId="0" applyFont="1" applyFill="1" applyBorder="1" applyAlignment="1">
      <alignment horizontal="left"/>
    </xf>
    <xf numFmtId="2" fontId="3" fillId="16" borderId="0" xfId="0" applyNumberFormat="1" applyFont="1" applyFill="1" applyBorder="1" applyAlignment="1"/>
    <xf numFmtId="0" fontId="4" fillId="20" borderId="0" xfId="0" applyFont="1" applyFill="1" applyBorder="1" applyAlignment="1">
      <alignment horizontal="center" vertical="top" wrapText="1"/>
    </xf>
    <xf numFmtId="164" fontId="3" fillId="16" borderId="0" xfId="0" applyNumberFormat="1" applyFont="1" applyFill="1" applyBorder="1" applyAlignment="1">
      <alignment horizontal="center"/>
    </xf>
    <xf numFmtId="2" fontId="3" fillId="16" borderId="0" xfId="0" applyNumberFormat="1" applyFont="1" applyFill="1" applyBorder="1" applyAlignment="1">
      <alignment horizontal="right"/>
    </xf>
    <xf numFmtId="0" fontId="4" fillId="16" borderId="0" xfId="0" applyFont="1" applyFill="1" applyBorder="1" applyAlignment="1">
      <alignment horizontal="left"/>
    </xf>
    <xf numFmtId="173" fontId="3" fillId="16" borderId="0" xfId="0" applyNumberFormat="1" applyFont="1" applyFill="1" applyBorder="1" applyAlignment="1">
      <alignment horizontal="center"/>
    </xf>
    <xf numFmtId="0" fontId="4" fillId="16" borderId="2" xfId="0" applyFont="1" applyFill="1" applyBorder="1" applyAlignment="1">
      <alignment horizontal="left"/>
    </xf>
    <xf numFmtId="2" fontId="4" fillId="16" borderId="2" xfId="0" applyNumberFormat="1" applyFont="1" applyFill="1" applyBorder="1" applyAlignment="1">
      <alignment horizontal="center"/>
    </xf>
    <xf numFmtId="0" fontId="4" fillId="16" borderId="2" xfId="0" applyFont="1" applyFill="1" applyBorder="1" applyAlignment="1">
      <alignment horizontal="right"/>
    </xf>
    <xf numFmtId="0" fontId="3" fillId="20" borderId="2" xfId="0" applyFont="1" applyFill="1" applyBorder="1"/>
    <xf numFmtId="0" fontId="36" fillId="21" borderId="10" xfId="0" applyFont="1" applyFill="1" applyBorder="1"/>
    <xf numFmtId="0" fontId="35" fillId="21" borderId="1" xfId="0" applyFont="1" applyFill="1" applyBorder="1"/>
    <xf numFmtId="0" fontId="35" fillId="0" borderId="1" xfId="0" applyFont="1" applyFill="1" applyBorder="1" applyProtection="1">
      <protection locked="0"/>
    </xf>
    <xf numFmtId="0" fontId="36" fillId="21" borderId="11" xfId="0" applyFont="1" applyFill="1" applyBorder="1"/>
    <xf numFmtId="0" fontId="35" fillId="21" borderId="2" xfId="0" applyFont="1" applyFill="1" applyBorder="1"/>
    <xf numFmtId="0" fontId="35" fillId="0" borderId="2" xfId="0" applyFont="1" applyFill="1" applyBorder="1" applyProtection="1">
      <protection locked="0"/>
    </xf>
    <xf numFmtId="0" fontId="3" fillId="5" borderId="0" xfId="0" applyFont="1" applyFill="1" applyBorder="1" applyAlignment="1">
      <alignment horizontal="right"/>
    </xf>
    <xf numFmtId="0" fontId="4" fillId="5" borderId="0" xfId="0" applyFont="1" applyFill="1" applyBorder="1" applyAlignment="1">
      <alignment vertical="top"/>
    </xf>
    <xf numFmtId="0" fontId="3" fillId="5" borderId="6" xfId="0" applyFont="1" applyFill="1" applyBorder="1"/>
    <xf numFmtId="0" fontId="4" fillId="5" borderId="0" xfId="0" applyFont="1" applyFill="1" applyBorder="1" applyAlignment="1">
      <alignment vertical="top" wrapText="1"/>
    </xf>
    <xf numFmtId="0" fontId="3" fillId="5" borderId="7" xfId="0" applyFont="1" applyFill="1" applyBorder="1"/>
    <xf numFmtId="164" fontId="4" fillId="5" borderId="0" xfId="0" applyNumberFormat="1" applyFont="1" applyFill="1" applyBorder="1"/>
    <xf numFmtId="0" fontId="4" fillId="5" borderId="11" xfId="0" applyFont="1" applyFill="1" applyBorder="1"/>
    <xf numFmtId="0" fontId="3" fillId="5" borderId="9" xfId="0" applyFont="1" applyFill="1" applyBorder="1"/>
    <xf numFmtId="1" fontId="4" fillId="5" borderId="2" xfId="0" applyNumberFormat="1" applyFont="1" applyFill="1" applyBorder="1"/>
    <xf numFmtId="0" fontId="2" fillId="4" borderId="3" xfId="0" applyFont="1" applyFill="1" applyBorder="1" applyAlignment="1" applyProtection="1">
      <alignment horizontal="right"/>
    </xf>
    <xf numFmtId="0" fontId="11" fillId="13" borderId="0" xfId="0" applyFont="1" applyFill="1"/>
    <xf numFmtId="0" fontId="0" fillId="13" borderId="0" xfId="0" applyFill="1"/>
    <xf numFmtId="0" fontId="27" fillId="13" borderId="0" xfId="0" applyFont="1" applyFill="1"/>
    <xf numFmtId="0" fontId="26" fillId="13" borderId="0" xfId="0" applyFont="1" applyFill="1"/>
    <xf numFmtId="0" fontId="26" fillId="13" borderId="10" xfId="0" applyFont="1" applyFill="1" applyBorder="1"/>
    <xf numFmtId="0" fontId="26" fillId="13" borderId="1" xfId="0" applyFont="1" applyFill="1" applyBorder="1"/>
    <xf numFmtId="0" fontId="26" fillId="13" borderId="8" xfId="0" applyFont="1" applyFill="1" applyBorder="1"/>
    <xf numFmtId="0" fontId="27" fillId="13" borderId="6" xfId="0" applyFont="1" applyFill="1" applyBorder="1"/>
    <xf numFmtId="0" fontId="27" fillId="13" borderId="0" xfId="0" applyFont="1" applyFill="1" applyBorder="1"/>
    <xf numFmtId="0" fontId="27" fillId="13" borderId="0" xfId="0" applyFont="1" applyFill="1" applyBorder="1" applyAlignment="1">
      <alignment horizontal="right"/>
    </xf>
    <xf numFmtId="2" fontId="27" fillId="13" borderId="0" xfId="0" applyNumberFormat="1" applyFont="1" applyFill="1" applyBorder="1"/>
    <xf numFmtId="2" fontId="27" fillId="13" borderId="7" xfId="0" applyNumberFormat="1" applyFont="1" applyFill="1" applyBorder="1"/>
    <xf numFmtId="0" fontId="27" fillId="13" borderId="11" xfId="0" applyFont="1" applyFill="1" applyBorder="1"/>
    <xf numFmtId="0" fontId="27" fillId="13" borderId="2" xfId="0" applyFont="1" applyFill="1" applyBorder="1"/>
    <xf numFmtId="0" fontId="27" fillId="13" borderId="2" xfId="0" applyFont="1" applyFill="1" applyBorder="1" applyAlignment="1">
      <alignment horizontal="right"/>
    </xf>
    <xf numFmtId="2" fontId="27" fillId="13" borderId="2" xfId="0" applyNumberFormat="1" applyFont="1" applyFill="1" applyBorder="1"/>
    <xf numFmtId="2" fontId="27" fillId="13" borderId="9" xfId="0" applyNumberFormat="1" applyFont="1" applyFill="1" applyBorder="1"/>
    <xf numFmtId="0" fontId="27" fillId="13" borderId="10" xfId="0" applyFont="1" applyFill="1" applyBorder="1"/>
    <xf numFmtId="0" fontId="27" fillId="13" borderId="1" xfId="0" applyFont="1" applyFill="1" applyBorder="1"/>
    <xf numFmtId="0" fontId="27" fillId="13" borderId="1" xfId="0" applyFont="1" applyFill="1" applyBorder="1" applyAlignment="1">
      <alignment horizontal="right"/>
    </xf>
    <xf numFmtId="0" fontId="27" fillId="13" borderId="8" xfId="0" applyFont="1" applyFill="1" applyBorder="1"/>
    <xf numFmtId="0" fontId="27" fillId="13" borderId="7" xfId="0" applyFont="1" applyFill="1" applyBorder="1"/>
    <xf numFmtId="0" fontId="27" fillId="13" borderId="9" xfId="0" applyFont="1" applyFill="1" applyBorder="1"/>
    <xf numFmtId="1" fontId="3" fillId="13" borderId="0" xfId="0" applyNumberFormat="1" applyFont="1" applyFill="1" applyBorder="1"/>
    <xf numFmtId="0" fontId="2" fillId="13" borderId="0" xfId="0" applyFont="1" applyFill="1" applyBorder="1"/>
    <xf numFmtId="0" fontId="26" fillId="13" borderId="1" xfId="0" applyFont="1" applyFill="1" applyBorder="1" applyAlignment="1">
      <alignment horizontal="right"/>
    </xf>
    <xf numFmtId="0" fontId="26" fillId="13" borderId="3" xfId="0" applyFont="1" applyFill="1" applyBorder="1" applyAlignment="1">
      <alignment horizontal="right"/>
    </xf>
    <xf numFmtId="0" fontId="26" fillId="13" borderId="8" xfId="0" applyFont="1" applyFill="1" applyBorder="1" applyAlignment="1">
      <alignment horizontal="right"/>
    </xf>
    <xf numFmtId="172" fontId="27" fillId="13" borderId="0" xfId="0" applyNumberFormat="1" applyFont="1" applyFill="1" applyBorder="1"/>
    <xf numFmtId="172" fontId="27" fillId="13" borderId="7" xfId="0" applyNumberFormat="1" applyFont="1" applyFill="1" applyBorder="1"/>
    <xf numFmtId="172" fontId="27" fillId="13" borderId="2" xfId="0" applyNumberFormat="1" applyFont="1" applyFill="1" applyBorder="1"/>
    <xf numFmtId="172" fontId="27" fillId="13" borderId="9" xfId="0" applyNumberFormat="1" applyFont="1" applyFill="1" applyBorder="1"/>
    <xf numFmtId="2" fontId="4" fillId="10" borderId="12" xfId="0" applyNumberFormat="1" applyFont="1" applyFill="1" applyBorder="1"/>
    <xf numFmtId="2" fontId="4" fillId="8" borderId="2" xfId="0" applyNumberFormat="1" applyFont="1" applyFill="1" applyBorder="1"/>
    <xf numFmtId="0" fontId="4" fillId="5" borderId="10" xfId="0" applyFont="1" applyFill="1" applyBorder="1"/>
    <xf numFmtId="0" fontId="4" fillId="5" borderId="1" xfId="0" applyFont="1" applyFill="1" applyBorder="1"/>
    <xf numFmtId="0" fontId="4" fillId="5" borderId="1" xfId="0" applyFont="1" applyFill="1" applyBorder="1" applyAlignment="1">
      <alignment horizontal="right"/>
    </xf>
    <xf numFmtId="0" fontId="4" fillId="5" borderId="1" xfId="0" applyFont="1" applyFill="1" applyBorder="1" applyAlignment="1">
      <alignment horizontal="center"/>
    </xf>
    <xf numFmtId="0" fontId="4" fillId="5" borderId="8" xfId="0" applyFont="1" applyFill="1" applyBorder="1"/>
    <xf numFmtId="164" fontId="3" fillId="5" borderId="2" xfId="0" applyNumberFormat="1" applyFont="1" applyFill="1" applyBorder="1"/>
    <xf numFmtId="0" fontId="3" fillId="6" borderId="0" xfId="0" applyFont="1" applyFill="1" applyBorder="1" applyAlignment="1">
      <alignment horizontal="center"/>
    </xf>
    <xf numFmtId="0" fontId="4" fillId="6" borderId="1" xfId="0" applyFont="1" applyFill="1" applyBorder="1" applyAlignment="1">
      <alignment horizontal="center"/>
    </xf>
    <xf numFmtId="0" fontId="3" fillId="6" borderId="1" xfId="0" applyFont="1" applyFill="1" applyBorder="1" applyAlignment="1">
      <alignment horizontal="center"/>
    </xf>
    <xf numFmtId="0" fontId="3" fillId="6" borderId="2" xfId="0" applyFont="1" applyFill="1" applyBorder="1" applyAlignment="1">
      <alignment horizontal="center"/>
    </xf>
    <xf numFmtId="0" fontId="4" fillId="9" borderId="1" xfId="0" applyFont="1" applyFill="1" applyBorder="1" applyAlignment="1">
      <alignment horizontal="center"/>
    </xf>
    <xf numFmtId="0" fontId="3" fillId="0" borderId="0" xfId="0" applyFont="1" applyAlignment="1">
      <alignment horizontal="right"/>
    </xf>
    <xf numFmtId="0" fontId="3" fillId="10" borderId="0" xfId="0" applyFont="1" applyFill="1" applyBorder="1" applyAlignment="1">
      <alignment horizontal="right"/>
    </xf>
    <xf numFmtId="0" fontId="3" fillId="10" borderId="0" xfId="0" applyFont="1" applyFill="1" applyAlignment="1">
      <alignment horizontal="right"/>
    </xf>
    <xf numFmtId="0" fontId="3" fillId="10" borderId="2" xfId="0" applyFont="1" applyFill="1" applyBorder="1" applyAlignment="1">
      <alignment horizontal="right"/>
    </xf>
    <xf numFmtId="0" fontId="3" fillId="10" borderId="7" xfId="0" applyFont="1" applyFill="1" applyBorder="1" applyAlignment="1">
      <alignment horizontal="right"/>
    </xf>
    <xf numFmtId="0" fontId="3" fillId="10" borderId="5" xfId="0" applyFont="1" applyFill="1" applyBorder="1" applyAlignment="1">
      <alignment horizontal="right"/>
    </xf>
    <xf numFmtId="0" fontId="3" fillId="10" borderId="3" xfId="0" applyFont="1" applyFill="1" applyBorder="1" applyAlignment="1">
      <alignment horizontal="right"/>
    </xf>
    <xf numFmtId="174" fontId="3" fillId="10" borderId="2" xfId="0" applyNumberFormat="1" applyFont="1" applyFill="1" applyBorder="1"/>
    <xf numFmtId="0" fontId="26" fillId="10" borderId="0" xfId="0" applyFont="1" applyFill="1" applyBorder="1" applyAlignment="1">
      <alignment horizontal="center"/>
    </xf>
    <xf numFmtId="0" fontId="27" fillId="9" borderId="0" xfId="0" applyFont="1" applyFill="1" applyAlignment="1">
      <alignment horizontal="center"/>
    </xf>
    <xf numFmtId="0" fontId="27" fillId="8" borderId="0" xfId="0" applyFont="1" applyFill="1" applyAlignment="1">
      <alignment horizontal="center"/>
    </xf>
    <xf numFmtId="0" fontId="26" fillId="3" borderId="0" xfId="0" applyFont="1" applyFill="1"/>
    <xf numFmtId="0" fontId="26" fillId="3" borderId="2" xfId="0" applyFont="1" applyFill="1" applyBorder="1"/>
    <xf numFmtId="0" fontId="27" fillId="8" borderId="2" xfId="0" applyFont="1" applyFill="1" applyBorder="1"/>
    <xf numFmtId="0" fontId="4" fillId="17" borderId="2" xfId="0" applyFont="1" applyFill="1" applyBorder="1" applyAlignment="1">
      <alignment horizontal="center"/>
    </xf>
    <xf numFmtId="3" fontId="5" fillId="4" borderId="5" xfId="2" applyNumberFormat="1" applyFont="1" applyFill="1" applyBorder="1" applyProtection="1"/>
    <xf numFmtId="0" fontId="2" fillId="4" borderId="2" xfId="0" applyFont="1" applyFill="1" applyBorder="1" applyAlignment="1" applyProtection="1">
      <alignment horizontal="left"/>
    </xf>
    <xf numFmtId="0" fontId="4" fillId="11" borderId="8" xfId="0" applyFont="1" applyFill="1" applyBorder="1"/>
    <xf numFmtId="0" fontId="3" fillId="11" borderId="6" xfId="0" applyFont="1" applyFill="1" applyBorder="1" applyAlignment="1">
      <alignment horizontal="right"/>
    </xf>
    <xf numFmtId="0" fontId="3" fillId="11" borderId="11" xfId="0" applyFont="1" applyFill="1" applyBorder="1" applyAlignment="1">
      <alignment horizontal="right"/>
    </xf>
    <xf numFmtId="2" fontId="2" fillId="4" borderId="7" xfId="0" applyNumberFormat="1" applyFont="1" applyFill="1" applyBorder="1" applyProtection="1"/>
    <xf numFmtId="0" fontId="4" fillId="22" borderId="0" xfId="0" applyFont="1" applyFill="1"/>
    <xf numFmtId="0" fontId="4" fillId="22" borderId="2" xfId="0" applyFont="1" applyFill="1" applyBorder="1"/>
    <xf numFmtId="0" fontId="3" fillId="4" borderId="1" xfId="0" applyFont="1" applyFill="1" applyBorder="1" applyProtection="1"/>
    <xf numFmtId="0" fontId="3" fillId="4" borderId="8" xfId="0" applyFont="1" applyFill="1" applyBorder="1" applyProtection="1"/>
    <xf numFmtId="0" fontId="3" fillId="4" borderId="0" xfId="0" applyFont="1" applyFill="1" applyBorder="1" applyProtection="1"/>
    <xf numFmtId="0" fontId="3" fillId="4" borderId="7" xfId="0" applyFont="1" applyFill="1" applyBorder="1" applyProtection="1"/>
    <xf numFmtId="0" fontId="4" fillId="4" borderId="8" xfId="0" applyFont="1" applyFill="1" applyBorder="1" applyProtection="1"/>
    <xf numFmtId="0" fontId="3" fillId="4" borderId="8" xfId="0" applyFont="1" applyFill="1" applyBorder="1" applyAlignment="1" applyProtection="1">
      <alignment horizontal="right"/>
    </xf>
    <xf numFmtId="0" fontId="3" fillId="4" borderId="7" xfId="0" applyFont="1" applyFill="1" applyBorder="1" applyAlignment="1" applyProtection="1">
      <alignment horizontal="right"/>
    </xf>
    <xf numFmtId="0" fontId="3" fillId="4" borderId="9" xfId="0" applyFont="1" applyFill="1" applyBorder="1" applyAlignment="1" applyProtection="1">
      <alignment horizontal="right"/>
    </xf>
    <xf numFmtId="0" fontId="3" fillId="4" borderId="0" xfId="0" applyFont="1" applyFill="1" applyBorder="1" applyAlignment="1" applyProtection="1">
      <alignment horizontal="right"/>
    </xf>
    <xf numFmtId="0" fontId="3" fillId="4" borderId="9" xfId="0" applyFont="1" applyFill="1" applyBorder="1" applyProtection="1"/>
    <xf numFmtId="0" fontId="35" fillId="21" borderId="8" xfId="0" applyFont="1" applyFill="1" applyBorder="1" applyProtection="1"/>
    <xf numFmtId="0" fontId="35" fillId="21" borderId="9" xfId="0" applyFont="1" applyFill="1" applyBorder="1" applyProtection="1"/>
    <xf numFmtId="0" fontId="24" fillId="4" borderId="0" xfId="0" applyFont="1" applyFill="1" applyBorder="1" applyProtection="1"/>
    <xf numFmtId="0" fontId="3" fillId="0" borderId="4" xfId="0" applyFont="1" applyBorder="1" applyProtection="1">
      <protection locked="0"/>
    </xf>
    <xf numFmtId="1" fontId="3" fillId="0" borderId="12" xfId="0" applyNumberFormat="1" applyFont="1" applyFill="1" applyBorder="1" applyProtection="1">
      <protection locked="0"/>
    </xf>
    <xf numFmtId="0" fontId="2" fillId="0" borderId="12" xfId="0" applyFont="1" applyFill="1" applyBorder="1" applyProtection="1">
      <protection locked="0"/>
    </xf>
    <xf numFmtId="0" fontId="5" fillId="4" borderId="3" xfId="0" applyFont="1" applyFill="1" applyBorder="1" applyAlignment="1" applyProtection="1">
      <alignment horizontal="left"/>
    </xf>
  </cellXfs>
  <cellStyles count="1310">
    <cellStyle name="40% - Accent4" xfId="1" builtinId="43"/>
    <cellStyle name="Comma" xfId="2" builtinId="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dPt>
            <c:idx val="0"/>
            <c:bubble3D val="0"/>
            <c:spPr>
              <a:solidFill>
                <a:srgbClr val="00B050"/>
              </a:solidFill>
            </c:spPr>
            <c:extLst>
              <c:ext xmlns:c16="http://schemas.microsoft.com/office/drawing/2014/chart" uri="{C3380CC4-5D6E-409C-BE32-E72D297353CC}">
                <c16:uniqueId val="{00000001-2530-40FD-B9D4-BD2E363D09CB}"/>
              </c:ext>
            </c:extLst>
          </c:dPt>
          <c:dPt>
            <c:idx val="5"/>
            <c:bubble3D val="0"/>
            <c:spPr>
              <a:solidFill>
                <a:schemeClr val="accent2"/>
              </a:solidFill>
            </c:spPr>
            <c:extLst>
              <c:ext xmlns:c16="http://schemas.microsoft.com/office/drawing/2014/chart" uri="{C3380CC4-5D6E-409C-BE32-E72D297353CC}">
                <c16:uniqueId val="{00000003-2530-40FD-B9D4-BD2E363D09CB}"/>
              </c:ext>
            </c:extLst>
          </c:dPt>
          <c:dPt>
            <c:idx val="10"/>
            <c:bubble3D val="0"/>
            <c:spPr>
              <a:solidFill>
                <a:schemeClr val="accent1"/>
              </a:solidFill>
            </c:spPr>
            <c:extLst>
              <c:ext xmlns:c16="http://schemas.microsoft.com/office/drawing/2014/chart" uri="{C3380CC4-5D6E-409C-BE32-E72D297353CC}">
                <c16:uniqueId val="{00000005-2530-40FD-B9D4-BD2E363D09C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'Data summary'!$L$4:$L$19</c:f>
              <c:strCache>
                <c:ptCount val="16"/>
                <c:pt idx="0">
                  <c:v>CO2 - Energy</c:v>
                </c:pt>
                <c:pt idx="1">
                  <c:v>CO2 - Transport</c:v>
                </c:pt>
                <c:pt idx="2">
                  <c:v>CO2 - Lime</c:v>
                </c:pt>
                <c:pt idx="3">
                  <c:v>CO2 - Urea</c:v>
                </c:pt>
                <c:pt idx="4">
                  <c:v>CH4 - Energy</c:v>
                </c:pt>
                <c:pt idx="5">
                  <c:v>CH4 - Enteric</c:v>
                </c:pt>
                <c:pt idx="6">
                  <c:v>CH4 - Manure Management</c:v>
                </c:pt>
                <c:pt idx="7">
                  <c:v>CH4 - Savannah Burning</c:v>
                </c:pt>
                <c:pt idx="8">
                  <c:v>CH4 - Transport</c:v>
                </c:pt>
                <c:pt idx="9">
                  <c:v>N2O - Fertiliser</c:v>
                </c:pt>
                <c:pt idx="10">
                  <c:v>N2O - Urine and Dung</c:v>
                </c:pt>
                <c:pt idx="11">
                  <c:v>N2O - Atmospheric Deposition</c:v>
                </c:pt>
                <c:pt idx="12">
                  <c:v>N2O - Leaching an Runoff</c:v>
                </c:pt>
                <c:pt idx="13">
                  <c:v>N2O - Savannah Burning </c:v>
                </c:pt>
                <c:pt idx="14">
                  <c:v>N2O - Energy</c:v>
                </c:pt>
                <c:pt idx="15">
                  <c:v>N2O - Transport</c:v>
                </c:pt>
              </c:strCache>
            </c:strRef>
          </c:cat>
          <c:val>
            <c:numRef>
              <c:f>'Data summary'!$M$4:$M$19</c:f>
              <c:numCache>
                <c:formatCode>#,##0.00</c:formatCode>
                <c:ptCount val="16"/>
                <c:pt idx="0">
                  <c:v>112.91203725336837</c:v>
                </c:pt>
                <c:pt idx="1">
                  <c:v>0</c:v>
                </c:pt>
                <c:pt idx="2">
                  <c:v>6.4799999999999995</c:v>
                </c:pt>
                <c:pt idx="3">
                  <c:v>135.91893333333334</c:v>
                </c:pt>
                <c:pt idx="4">
                  <c:v>0.1418078824</c:v>
                </c:pt>
                <c:pt idx="5">
                  <c:v>15766.938847692454</c:v>
                </c:pt>
                <c:pt idx="6">
                  <c:v>5.1344821067495516</c:v>
                </c:pt>
                <c:pt idx="7">
                  <c:v>0</c:v>
                </c:pt>
                <c:pt idx="8">
                  <c:v>0</c:v>
                </c:pt>
                <c:pt idx="9">
                  <c:v>348.35123368571425</c:v>
                </c:pt>
                <c:pt idx="10">
                  <c:v>5258.1267592721397</c:v>
                </c:pt>
                <c:pt idx="11">
                  <c:v>34.835123368571431</c:v>
                </c:pt>
                <c:pt idx="12">
                  <c:v>391.89513789642854</c:v>
                </c:pt>
                <c:pt idx="13">
                  <c:v>0</c:v>
                </c:pt>
                <c:pt idx="14">
                  <c:v>0.2803818824</c:v>
                </c:pt>
                <c:pt idx="15" formatCode="0.00">
                  <c:v>0</c:v>
                </c:pt>
              </c:numCache>
            </c:numRef>
          </c:val>
          <c:extLst>
            <c:ext xmlns:c16="http://schemas.microsoft.com/office/drawing/2014/chart" uri="{C3380CC4-5D6E-409C-BE32-E72D297353CC}">
              <c16:uniqueId val="{00000006-2530-40FD-B9D4-BD2E363D09CB}"/>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spPr>
    <a:noFill/>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pieChart>
        <c:varyColors val="1"/>
        <c:ser>
          <c:idx val="0"/>
          <c:order val="0"/>
          <c:spPr>
            <a:solidFill>
              <a:schemeClr val="accent2"/>
            </a:solidFill>
          </c:spPr>
          <c:dPt>
            <c:idx val="0"/>
            <c:bubble3D val="0"/>
            <c:spPr>
              <a:solidFill>
                <a:srgbClr val="00B050"/>
              </a:solidFill>
            </c:spPr>
            <c:extLst>
              <c:ext xmlns:c16="http://schemas.microsoft.com/office/drawing/2014/chart" uri="{C3380CC4-5D6E-409C-BE32-E72D297353CC}">
                <c16:uniqueId val="{00000001-15BC-45C1-836E-34F534B3CF72}"/>
              </c:ext>
            </c:extLst>
          </c:dPt>
          <c:dPt>
            <c:idx val="2"/>
            <c:bubble3D val="0"/>
            <c:spPr>
              <a:solidFill>
                <a:schemeClr val="accent1"/>
              </a:solidFill>
            </c:spPr>
            <c:extLst>
              <c:ext xmlns:c16="http://schemas.microsoft.com/office/drawing/2014/chart" uri="{C3380CC4-5D6E-409C-BE32-E72D297353CC}">
                <c16:uniqueId val="{00000003-15BC-45C1-836E-34F534B3CF72}"/>
              </c:ext>
            </c:extLst>
          </c:dPt>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'Data summary'!$N$4:$N$6</c:f>
              <c:strCache>
                <c:ptCount val="3"/>
                <c:pt idx="0">
                  <c:v>CO2</c:v>
                </c:pt>
                <c:pt idx="1">
                  <c:v>CH4</c:v>
                </c:pt>
                <c:pt idx="2">
                  <c:v>N2O</c:v>
                </c:pt>
              </c:strCache>
            </c:strRef>
          </c:cat>
          <c:val>
            <c:numRef>
              <c:f>'Data summary'!$O$4:$O$6</c:f>
              <c:numCache>
                <c:formatCode>_-* #,##0_-;\-* #,##0_-;_-* "-"??_-;_-@_-</c:formatCode>
                <c:ptCount val="3"/>
                <c:pt idx="0">
                  <c:v>255.31097058670173</c:v>
                </c:pt>
                <c:pt idx="1">
                  <c:v>15772.215137681604</c:v>
                </c:pt>
                <c:pt idx="2">
                  <c:v>6033.488636105254</c:v>
                </c:pt>
              </c:numCache>
            </c:numRef>
          </c:val>
          <c:extLst>
            <c:ext xmlns:c16="http://schemas.microsoft.com/office/drawing/2014/chart" uri="{C3380CC4-5D6E-409C-BE32-E72D297353CC}">
              <c16:uniqueId val="{00000004-15BC-45C1-836E-34F534B3CF72}"/>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1" l="0.75" r="0.75" t="1" header="0.5" footer="0.5"/>
    <c:pageSetup/>
  </c:printSettings>
</c:chartSpace>
</file>

<file path=xl/ctrlProps/ctrlProp1.xml><?xml version="1.0" encoding="utf-8"?>
<formControlPr xmlns="http://schemas.microsoft.com/office/spreadsheetml/2009/9/main" objectType="Drop" dropLines="85" dropStyle="combo" dx="16" fmlaLink="$E$3" fmlaRange="'Electicity, Gas &amp; Diesel'!$L$4:$L$13" sel="3" val="0"/>
</file>

<file path=xl/ctrlProps/ctrlProp10.xml><?xml version="1.0" encoding="utf-8"?>
<formControlPr xmlns="http://schemas.microsoft.com/office/spreadsheetml/2009/9/main" objectType="Drop" dropLines="85" dropStyle="combo" dx="16" fmlaLink="$D$101" fmlaRange="Transport!$D$7:$D$9" sel="1" val="0"/>
</file>

<file path=xl/ctrlProps/ctrlProp2.xml><?xml version="1.0" encoding="utf-8"?>
<formControlPr xmlns="http://schemas.microsoft.com/office/spreadsheetml/2009/9/main" objectType="Drop" dropLines="85" dropStyle="combo" dx="16" fmlaLink="$D$80" fmlaRange="'Savannah Burning'!$C$16:$C$20" sel="3" val="0"/>
</file>

<file path=xl/ctrlProps/ctrlProp3.xml><?xml version="1.0" encoding="utf-8"?>
<formControlPr xmlns="http://schemas.microsoft.com/office/spreadsheetml/2009/9/main" objectType="Drop" dropLines="85" dropStyle="combo" dx="16" fmlaLink="$D$82" fmlaRange="'Savannah Burning'!$E$4:$E$5" sel="2" val="0"/>
</file>

<file path=xl/ctrlProps/ctrlProp4.xml><?xml version="1.0" encoding="utf-8"?>
<formControlPr xmlns="http://schemas.microsoft.com/office/spreadsheetml/2009/9/main" objectType="Drop" dropLines="85" dropStyle="combo" dx="16" fmlaLink="$D$84" fmlaRange="'Savannah Burning'!$G$4:$G$5" sel="2" val="0"/>
</file>

<file path=xl/ctrlProps/ctrlProp5.xml><?xml version="1.0" encoding="utf-8"?>
<formControlPr xmlns="http://schemas.microsoft.com/office/spreadsheetml/2009/9/main" objectType="Drop" dropLines="85" dropStyle="combo" dx="16" fmlaLink="$D$78" fmlaRange="'Savannah Burning'!$C$4:$C$5" sel="1" val="0"/>
</file>

<file path=xl/ctrlProps/ctrlProp6.xml><?xml version="1.0" encoding="utf-8"?>
<formControlPr xmlns="http://schemas.microsoft.com/office/spreadsheetml/2009/9/main" objectType="Drop" dropLines="85" dropStyle="combo" dx="16" fmlaLink="$D$90" fmlaRange="'Savannah Burning'!$I$4:$I$5" sel="1" val="0"/>
</file>

<file path=xl/ctrlProps/ctrlProp7.xml><?xml version="1.0" encoding="utf-8"?>
<formControlPr xmlns="http://schemas.microsoft.com/office/spreadsheetml/2009/9/main" objectType="Drop" dropLines="85" dropStyle="combo" dx="16" fmlaLink="$E$5" fmlaRange="'Manure management'!$D$21:$D$22" sel="2" val="0"/>
</file>

<file path=xl/ctrlProps/ctrlProp8.xml><?xml version="1.0" encoding="utf-8"?>
<formControlPr xmlns="http://schemas.microsoft.com/office/spreadsheetml/2009/9/main" objectType="Drop" dropLines="85" dropStyle="combo" dx="16" fmlaLink="$E$7" fmlaRange="'Agricultural soils'!$E$212:$E$213" sel="2" val="0"/>
</file>

<file path=xl/ctrlProps/ctrlProp9.xml><?xml version="1.0" encoding="utf-8"?>
<formControlPr xmlns="http://schemas.microsoft.com/office/spreadsheetml/2009/9/main" objectType="Drop" dropLines="85" dropStyle="combo" dx="16" fmlaLink="$D$92" fmlaRange="'Electicity, Gas &amp; Diesel'!$L$17:$L$18" sel="1" val="0"/>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11</xdr:col>
      <xdr:colOff>355600</xdr:colOff>
      <xdr:row>20</xdr:row>
      <xdr:rowOff>95249</xdr:rowOff>
    </xdr:from>
    <xdr:to>
      <xdr:col>16</xdr:col>
      <xdr:colOff>0</xdr:colOff>
      <xdr:row>24</xdr:row>
      <xdr:rowOff>2825749</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63500</xdr:colOff>
      <xdr:row>6</xdr:row>
      <xdr:rowOff>127000</xdr:rowOff>
    </xdr:from>
    <xdr:to>
      <xdr:col>15</xdr:col>
      <xdr:colOff>38100</xdr:colOff>
      <xdr:row>19</xdr:row>
      <xdr:rowOff>139700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104775</xdr:colOff>
      <xdr:row>20</xdr:row>
      <xdr:rowOff>104775</xdr:rowOff>
    </xdr:from>
    <xdr:ext cx="5153026" cy="809625"/>
    <xdr:sp macro="" textlink="">
      <xdr:nvSpPr>
        <xdr:cNvPr id="6" name="AutoShape 42">
          <a:extLst>
            <a:ext uri="{FF2B5EF4-FFF2-40B4-BE49-F238E27FC236}">
              <a16:creationId xmlns:a16="http://schemas.microsoft.com/office/drawing/2014/main" id="{00000000-0008-0000-0000-000006000000}"/>
            </a:ext>
          </a:extLst>
        </xdr:cNvPr>
        <xdr:cNvSpPr/>
      </xdr:nvSpPr>
      <xdr:spPr>
        <a:xfrm flipH="1">
          <a:off x="104775" y="4572000"/>
          <a:ext cx="5153026" cy="809625"/>
        </a:xfrm>
        <a:custGeom>
          <a:avLst>
            <a:gd name="f0" fmla="val 3600"/>
          </a:avLst>
          <a:gdLst>
            <a:gd name="f1" fmla="val 10800000"/>
            <a:gd name="f2" fmla="val 5400000"/>
            <a:gd name="f3" fmla="val 16200000"/>
            <a:gd name="f4" fmla="val w"/>
            <a:gd name="f5" fmla="val h"/>
            <a:gd name="f6" fmla="val ss"/>
            <a:gd name="f7" fmla="val 0"/>
            <a:gd name="f8" fmla="*/ 5419351 1 1725033"/>
            <a:gd name="f9" fmla="val 45"/>
            <a:gd name="f10" fmla="val 10800"/>
            <a:gd name="f11" fmla="val -2147483647"/>
            <a:gd name="f12" fmla="val 2147483647"/>
            <a:gd name="f13" fmla="abs f4"/>
            <a:gd name="f14" fmla="abs f5"/>
            <a:gd name="f15" fmla="abs f6"/>
            <a:gd name="f16" fmla="*/ f8 1 180"/>
            <a:gd name="f17" fmla="pin 0 f0 10800"/>
            <a:gd name="f18" fmla="+- 0 0 f2"/>
            <a:gd name="f19" fmla="?: f13 f4 1"/>
            <a:gd name="f20" fmla="?: f14 f5 1"/>
            <a:gd name="f21" fmla="?: f15 f6 1"/>
            <a:gd name="f22" fmla="*/ f9 f16 1"/>
            <a:gd name="f23" fmla="+- f7 f17 0"/>
            <a:gd name="f24" fmla="*/ f19 1 21600"/>
            <a:gd name="f25" fmla="*/ f20 1 21600"/>
            <a:gd name="f26" fmla="*/ 21600 f19 1"/>
            <a:gd name="f27" fmla="*/ 21600 f20 1"/>
            <a:gd name="f28" fmla="+- 0 0 f22"/>
            <a:gd name="f29" fmla="min f25 f24"/>
            <a:gd name="f30" fmla="*/ f26 1 f21"/>
            <a:gd name="f31" fmla="*/ f27 1 f21"/>
            <a:gd name="f32" fmla="*/ f28 f1 1"/>
            <a:gd name="f33" fmla="*/ f32 1 f8"/>
            <a:gd name="f34" fmla="+- f31 0 f17"/>
            <a:gd name="f35" fmla="+- f30 0 f17"/>
            <a:gd name="f36" fmla="*/ f17 f29 1"/>
            <a:gd name="f37" fmla="*/ f7 f29 1"/>
            <a:gd name="f38" fmla="*/ f23 f29 1"/>
            <a:gd name="f39" fmla="*/ f31 f29 1"/>
            <a:gd name="f40" fmla="*/ f30 f29 1"/>
            <a:gd name="f41" fmla="+- f33 0 f2"/>
            <a:gd name="f42" fmla="+- f37 0 f38"/>
            <a:gd name="f43" fmla="+- f38 0 f37"/>
            <a:gd name="f44" fmla="*/ f34 f29 1"/>
            <a:gd name="f45" fmla="*/ f35 f29 1"/>
            <a:gd name="f46" fmla="cos 1 f41"/>
            <a:gd name="f47" fmla="abs f42"/>
            <a:gd name="f48" fmla="abs f43"/>
            <a:gd name="f49" fmla="?: f42 f18 f2"/>
            <a:gd name="f50" fmla="?: f42 f2 f18"/>
            <a:gd name="f51" fmla="?: f42 f3 f2"/>
            <a:gd name="f52" fmla="?: f42 f2 f3"/>
            <a:gd name="f53" fmla="+- f39 0 f44"/>
            <a:gd name="f54" fmla="?: f43 f18 f2"/>
            <a:gd name="f55" fmla="?: f43 f2 f18"/>
            <a:gd name="f56" fmla="+- f40 0 f45"/>
            <a:gd name="f57" fmla="+- f44 0 f39"/>
            <a:gd name="f58" fmla="+- f45 0 f40"/>
            <a:gd name="f59" fmla="?: f42 0 f1"/>
            <a:gd name="f60" fmla="?: f42 f1 0"/>
            <a:gd name="f61" fmla="+- 0 0 f46"/>
            <a:gd name="f62" fmla="?: f42 f52 f51"/>
            <a:gd name="f63" fmla="?: f42 f51 f52"/>
            <a:gd name="f64" fmla="?: f43 f50 f49"/>
            <a:gd name="f65" fmla="abs f53"/>
            <a:gd name="f66" fmla="?: f53 0 f1"/>
            <a:gd name="f67" fmla="?: f53 f1 0"/>
            <a:gd name="f68" fmla="?: f53 f54 f55"/>
            <a:gd name="f69" fmla="abs f56"/>
            <a:gd name="f70" fmla="abs f57"/>
            <a:gd name="f71" fmla="?: f56 f18 f2"/>
            <a:gd name="f72" fmla="?: f56 f2 f18"/>
            <a:gd name="f73" fmla="?: f56 f3 f2"/>
            <a:gd name="f74" fmla="?: f56 f2 f3"/>
            <a:gd name="f75" fmla="abs f58"/>
            <a:gd name="f76" fmla="?: f58 f18 f2"/>
            <a:gd name="f77" fmla="?: f58 f2 f18"/>
            <a:gd name="f78" fmla="?: f58 f60 f59"/>
            <a:gd name="f79" fmla="?: f58 f59 f60"/>
            <a:gd name="f80" fmla="*/ f17 f61 1"/>
            <a:gd name="f81" fmla="?: f43 f63 f62"/>
            <a:gd name="f82" fmla="?: f43 f67 f66"/>
            <a:gd name="f83" fmla="?: f43 f66 f67"/>
            <a:gd name="f84" fmla="?: f56 f74 f73"/>
            <a:gd name="f85" fmla="?: f56 f73 f74"/>
            <a:gd name="f86" fmla="?: f57 f72 f71"/>
            <a:gd name="f87" fmla="?: f42 f78 f79"/>
            <a:gd name="f88" fmla="?: f42 f76 f77"/>
            <a:gd name="f89" fmla="*/ f80 3163 1"/>
            <a:gd name="f90" fmla="?: f53 f82 f83"/>
            <a:gd name="f91" fmla="?: f57 f85 f84"/>
            <a:gd name="f92" fmla="*/ f89 1 7636"/>
            <a:gd name="f93" fmla="+- f7 f92 0"/>
            <a:gd name="f94" fmla="+- f30 0 f92"/>
            <a:gd name="f95" fmla="+- f31 0 f92"/>
            <a:gd name="f96" fmla="*/ f93 f29 1"/>
            <a:gd name="f97" fmla="*/ f94 f29 1"/>
            <a:gd name="f98" fmla="*/ f95 f29 1"/>
          </a:gdLst>
          <a:ahLst>
            <a:ahXY gdRefX="f0" minX="f7" maxX="f10">
              <a:pos x="f36" y="f37"/>
            </a:ahXY>
          </a:ahLst>
          <a:cxnLst>
            <a:cxn ang="3cd4">
              <a:pos x="hc" y="t"/>
            </a:cxn>
            <a:cxn ang="0">
              <a:pos x="r" y="vc"/>
            </a:cxn>
            <a:cxn ang="cd4">
              <a:pos x="hc" y="b"/>
            </a:cxn>
            <a:cxn ang="cd2">
              <a:pos x="l" y="vc"/>
            </a:cxn>
          </a:cxnLst>
          <a:rect l="f96" t="f96" r="f97" b="f98"/>
          <a:pathLst>
            <a:path>
              <a:moveTo>
                <a:pt x="f38" y="f37"/>
              </a:moveTo>
              <a:arcTo wR="f47" hR="f48" stAng="f81" swAng="f64"/>
              <a:lnTo>
                <a:pt x="f37" y="f44"/>
              </a:lnTo>
              <a:arcTo wR="f48" hR="f65" stAng="f90" swAng="f68"/>
              <a:lnTo>
                <a:pt x="f45" y="f39"/>
              </a:lnTo>
              <a:arcTo wR="f69" hR="f70" stAng="f91" swAng="f86"/>
              <a:lnTo>
                <a:pt x="f40" y="f38"/>
              </a:lnTo>
              <a:arcTo wR="f75" hR="f47" stAng="f87" swAng="f88"/>
              <a:close/>
            </a:path>
          </a:pathLst>
        </a:custGeom>
        <a:ln/>
        <a:effectLst>
          <a:innerShdw blurRad="63500" dist="50800" dir="2700000">
            <a:prstClr val="black">
              <a:alpha val="50000"/>
            </a:prstClr>
          </a:innerShdw>
        </a:effectLst>
      </xdr:spPr>
      <xdr:style>
        <a:lnRef idx="1">
          <a:schemeClr val="accent4"/>
        </a:lnRef>
        <a:fillRef idx="2">
          <a:schemeClr val="accent4"/>
        </a:fillRef>
        <a:effectRef idx="1">
          <a:schemeClr val="accent4"/>
        </a:effectRef>
        <a:fontRef idx="minor">
          <a:schemeClr val="dk1"/>
        </a:fontRef>
      </xdr:style>
      <xdr:txBody>
        <a:bodyPr vert="horz" wrap="square" lIns="27432" tIns="22860" rIns="0" bIns="0" anchor="t" anchorCtr="1" compatLnSpc="0"/>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AU" sz="1200" b="0" i="0" u="none" strike="noStrike" kern="0" cap="none" spc="0" baseline="0">
              <a:solidFill>
                <a:srgbClr val="000000"/>
              </a:solidFill>
              <a:uFillTx/>
              <a:latin typeface="Times New Roman" pitchFamily="18"/>
              <a:cs typeface="Times New Roman" pitchFamily="18"/>
            </a:rPr>
            <a:t>Citation: </a:t>
          </a:r>
        </a:p>
        <a:p>
          <a:r>
            <a:rPr lang="en-AU" sz="1100">
              <a:solidFill>
                <a:schemeClr val="dk1"/>
              </a:solidFill>
              <a:effectLst/>
              <a:latin typeface="+mn-lt"/>
              <a:ea typeface="+mn-ea"/>
              <a:cs typeface="+mn-cs"/>
            </a:rPr>
            <a:t>Eckard R.J., Taylor C.  (2016). A </a:t>
          </a:r>
          <a:r>
            <a:rPr lang="en-AU" sz="1100" b="1">
              <a:solidFill>
                <a:schemeClr val="dk1"/>
              </a:solidFill>
              <a:effectLst/>
              <a:latin typeface="+mn-lt"/>
              <a:ea typeface="+mn-ea"/>
              <a:cs typeface="+mn-cs"/>
            </a:rPr>
            <a:t>G</a:t>
          </a:r>
          <a:r>
            <a:rPr lang="en-AU" sz="1100">
              <a:solidFill>
                <a:schemeClr val="dk1"/>
              </a:solidFill>
              <a:effectLst/>
              <a:latin typeface="+mn-lt"/>
              <a:ea typeface="+mn-ea"/>
              <a:cs typeface="+mn-cs"/>
            </a:rPr>
            <a:t>reenhouse </a:t>
          </a:r>
          <a:r>
            <a:rPr lang="en-AU" sz="1100" b="1">
              <a:solidFill>
                <a:schemeClr val="dk1"/>
              </a:solidFill>
              <a:effectLst/>
              <a:latin typeface="+mn-lt"/>
              <a:ea typeface="+mn-ea"/>
              <a:cs typeface="+mn-cs"/>
            </a:rPr>
            <a:t>A</a:t>
          </a:r>
          <a:r>
            <a:rPr lang="en-AU" sz="1100">
              <a:solidFill>
                <a:schemeClr val="dk1"/>
              </a:solidFill>
              <a:effectLst/>
              <a:latin typeface="+mn-lt"/>
              <a:ea typeface="+mn-ea"/>
              <a:cs typeface="+mn-cs"/>
            </a:rPr>
            <a:t>ccounting </a:t>
          </a:r>
          <a:r>
            <a:rPr lang="en-AU" sz="1100" b="1">
              <a:solidFill>
                <a:schemeClr val="dk1"/>
              </a:solidFill>
              <a:effectLst/>
              <a:latin typeface="+mn-lt"/>
              <a:ea typeface="+mn-ea"/>
              <a:cs typeface="+mn-cs"/>
            </a:rPr>
            <a:t>F</a:t>
          </a:r>
          <a:r>
            <a:rPr lang="en-AU" sz="1100">
              <a:solidFill>
                <a:schemeClr val="dk1"/>
              </a:solidFill>
              <a:effectLst/>
              <a:latin typeface="+mn-lt"/>
              <a:ea typeface="+mn-ea"/>
              <a:cs typeface="+mn-cs"/>
            </a:rPr>
            <a:t>ramework for </a:t>
          </a:r>
          <a:r>
            <a:rPr lang="en-AU" sz="1100" b="1">
              <a:solidFill>
                <a:schemeClr val="dk1"/>
              </a:solidFill>
              <a:effectLst/>
              <a:latin typeface="+mn-lt"/>
              <a:ea typeface="+mn-ea"/>
              <a:cs typeface="+mn-cs"/>
            </a:rPr>
            <a:t>B</a:t>
          </a:r>
          <a:r>
            <a:rPr lang="en-AU" sz="1100">
              <a:solidFill>
                <a:schemeClr val="dk1"/>
              </a:solidFill>
              <a:effectLst/>
              <a:latin typeface="+mn-lt"/>
              <a:ea typeface="+mn-ea"/>
              <a:cs typeface="+mn-cs"/>
            </a:rPr>
            <a:t>eef properties (B-GAF) based on the Australian National Greenhouse Gas Inventory methodology. Updated July 2016 http://www.greenhouse.unimelb.edu.au/Tools.htm</a:t>
          </a:r>
        </a:p>
      </xdr:txBody>
    </xdr:sp>
    <xdr:clientData/>
  </xdr:oneCellAnchor>
  <xdr:twoCellAnchor editAs="oneCell">
    <xdr:from>
      <xdr:col>6</xdr:col>
      <xdr:colOff>428625</xdr:colOff>
      <xdr:row>20</xdr:row>
      <xdr:rowOff>114300</xdr:rowOff>
    </xdr:from>
    <xdr:to>
      <xdr:col>8</xdr:col>
      <xdr:colOff>114301</xdr:colOff>
      <xdr:row>24</xdr:row>
      <xdr:rowOff>38100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152" t="10077" r="14106" b="10077"/>
        <a:stretch/>
      </xdr:blipFill>
      <xdr:spPr>
        <a:xfrm>
          <a:off x="5334000" y="4581525"/>
          <a:ext cx="923926" cy="981075"/>
        </a:xfrm>
        <a:prstGeom prst="rect">
          <a:avLst/>
        </a:prstGeom>
      </xdr:spPr>
    </xdr:pic>
    <xdr:clientData/>
  </xdr:twoCellAnchor>
  <xdr:twoCellAnchor editAs="oneCell">
    <xdr:from>
      <xdr:col>8</xdr:col>
      <xdr:colOff>219075</xdr:colOff>
      <xdr:row>20</xdr:row>
      <xdr:rowOff>95250</xdr:rowOff>
    </xdr:from>
    <xdr:to>
      <xdr:col>11</xdr:col>
      <xdr:colOff>888683</xdr:colOff>
      <xdr:row>24</xdr:row>
      <xdr:rowOff>9525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62700" y="4562475"/>
          <a:ext cx="2088833"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165100</xdr:colOff>
      <xdr:row>3</xdr:row>
      <xdr:rowOff>18424</xdr:rowOff>
    </xdr:from>
    <xdr:to>
      <xdr:col>19</xdr:col>
      <xdr:colOff>504825</xdr:colOff>
      <xdr:row>20</xdr:row>
      <xdr:rowOff>50800</xdr:rowOff>
    </xdr:to>
    <xdr:pic>
      <xdr:nvPicPr>
        <xdr:cNvPr id="29798" name="Picture 35">
          <a:extLst>
            <a:ext uri="{FF2B5EF4-FFF2-40B4-BE49-F238E27FC236}">
              <a16:creationId xmlns:a16="http://schemas.microsoft.com/office/drawing/2014/main" id="{00000000-0008-0000-0100-00006674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600" r="1196" b="9199"/>
        <a:stretch/>
      </xdr:blipFill>
      <xdr:spPr bwMode="auto">
        <a:xfrm>
          <a:off x="13601700" y="793124"/>
          <a:ext cx="5165725" cy="320737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90</xdr:row>
          <xdr:rowOff>180975</xdr:rowOff>
        </xdr:from>
        <xdr:to>
          <xdr:col>5</xdr:col>
          <xdr:colOff>238125</xdr:colOff>
          <xdr:row>92</xdr:row>
          <xdr:rowOff>38100</xdr:rowOff>
        </xdr:to>
        <xdr:sp macro="" textlink="">
          <xdr:nvSpPr>
            <xdr:cNvPr id="29744" name="Drop Down 48" hidden="1">
              <a:extLst>
                <a:ext uri="{63B3BB69-23CF-44E3-9099-C40C66FF867C}">
                  <a14:compatExt spid="_x0000_s29744"/>
                </a:ext>
                <a:ext uri="{FF2B5EF4-FFF2-40B4-BE49-F238E27FC236}">
                  <a16:creationId xmlns:a16="http://schemas.microsoft.com/office/drawing/2014/main" id="{00000000-0008-0000-0100-0000307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xdr:row>
          <xdr:rowOff>238125</xdr:rowOff>
        </xdr:from>
        <xdr:to>
          <xdr:col>5</xdr:col>
          <xdr:colOff>114300</xdr:colOff>
          <xdr:row>3</xdr:row>
          <xdr:rowOff>9525</xdr:rowOff>
        </xdr:to>
        <xdr:sp macro="" textlink="">
          <xdr:nvSpPr>
            <xdr:cNvPr id="29772" name="Drop Down 1" hidden="1">
              <a:extLst>
                <a:ext uri="{63B3BB69-23CF-44E3-9099-C40C66FF867C}">
                  <a14:compatExt spid="_x0000_s29772"/>
                </a:ext>
                <a:ext uri="{FF2B5EF4-FFF2-40B4-BE49-F238E27FC236}">
                  <a16:creationId xmlns:a16="http://schemas.microsoft.com/office/drawing/2014/main" id="{00000000-0008-0000-0100-00004C7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xdr:twoCellAnchor editAs="oneCell">
    <xdr:from>
      <xdr:col>12</xdr:col>
      <xdr:colOff>114299</xdr:colOff>
      <xdr:row>23</xdr:row>
      <xdr:rowOff>139700</xdr:rowOff>
    </xdr:from>
    <xdr:to>
      <xdr:col>19</xdr:col>
      <xdr:colOff>377502</xdr:colOff>
      <xdr:row>42</xdr:row>
      <xdr:rowOff>76200</xdr:rowOff>
    </xdr:to>
    <xdr:pic>
      <xdr:nvPicPr>
        <xdr:cNvPr id="8" name="Picture 7" descr="Description: C:\Users\dcc617\AppData\Local\Microsoft\Windows\Temporary Internet Files\Content.Word\savmask_dec2011_HR.JPG">
          <a:extLst>
            <a:ext uri="{FF2B5EF4-FFF2-40B4-BE49-F238E27FC236}">
              <a16:creationId xmlns:a16="http://schemas.microsoft.com/office/drawing/2014/main" id="{00000000-0008-0000-0100-000008000000}"/>
            </a:ext>
          </a:extLst>
        </xdr:cNvPr>
        <xdr:cNvPicPr/>
      </xdr:nvPicPr>
      <xdr:blipFill rotWithShape="1">
        <a:blip xmlns:r="http://schemas.openxmlformats.org/officeDocument/2006/relationships" r:embed="rId2"/>
        <a:srcRect l="-1" r="754" b="5154"/>
        <a:stretch/>
      </xdr:blipFill>
      <xdr:spPr bwMode="auto">
        <a:xfrm>
          <a:off x="12433299" y="4749800"/>
          <a:ext cx="5089203" cy="35560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0</xdr:colOff>
          <xdr:row>78</xdr:row>
          <xdr:rowOff>180975</xdr:rowOff>
        </xdr:from>
        <xdr:to>
          <xdr:col>5</xdr:col>
          <xdr:colOff>266700</xdr:colOff>
          <xdr:row>80</xdr:row>
          <xdr:rowOff>38100</xdr:rowOff>
        </xdr:to>
        <xdr:sp macro="" textlink="">
          <xdr:nvSpPr>
            <xdr:cNvPr id="29775" name="Drop Down 1" hidden="1">
              <a:extLst>
                <a:ext uri="{63B3BB69-23CF-44E3-9099-C40C66FF867C}">
                  <a14:compatExt spid="_x0000_s29775"/>
                </a:ext>
                <a:ext uri="{FF2B5EF4-FFF2-40B4-BE49-F238E27FC236}">
                  <a16:creationId xmlns:a16="http://schemas.microsoft.com/office/drawing/2014/main" id="{00000000-0008-0000-0100-00004F7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80</xdr:row>
          <xdr:rowOff>161925</xdr:rowOff>
        </xdr:from>
        <xdr:to>
          <xdr:col>5</xdr:col>
          <xdr:colOff>257175</xdr:colOff>
          <xdr:row>82</xdr:row>
          <xdr:rowOff>28575</xdr:rowOff>
        </xdr:to>
        <xdr:sp macro="" textlink="">
          <xdr:nvSpPr>
            <xdr:cNvPr id="29777" name="Drop Down 81" hidden="1">
              <a:extLst>
                <a:ext uri="{63B3BB69-23CF-44E3-9099-C40C66FF867C}">
                  <a14:compatExt spid="_x0000_s29777"/>
                </a:ext>
                <a:ext uri="{FF2B5EF4-FFF2-40B4-BE49-F238E27FC236}">
                  <a16:creationId xmlns:a16="http://schemas.microsoft.com/office/drawing/2014/main" id="{00000000-0008-0000-0100-0000517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180975</xdr:rowOff>
        </xdr:from>
        <xdr:to>
          <xdr:col>5</xdr:col>
          <xdr:colOff>266700</xdr:colOff>
          <xdr:row>84</xdr:row>
          <xdr:rowOff>38100</xdr:rowOff>
        </xdr:to>
        <xdr:sp macro="" textlink="">
          <xdr:nvSpPr>
            <xdr:cNvPr id="29778" name="Drop Down 82" hidden="1">
              <a:extLst>
                <a:ext uri="{63B3BB69-23CF-44E3-9099-C40C66FF867C}">
                  <a14:compatExt spid="_x0000_s29778"/>
                </a:ext>
                <a:ext uri="{FF2B5EF4-FFF2-40B4-BE49-F238E27FC236}">
                  <a16:creationId xmlns:a16="http://schemas.microsoft.com/office/drawing/2014/main" id="{00000000-0008-0000-0100-0000527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1223963</xdr:colOff>
          <xdr:row>76</xdr:row>
          <xdr:rowOff>185738</xdr:rowOff>
        </xdr:from>
        <xdr:to>
          <xdr:col>5</xdr:col>
          <xdr:colOff>266700</xdr:colOff>
          <xdr:row>78</xdr:row>
          <xdr:rowOff>38100</xdr:rowOff>
        </xdr:to>
        <xdr:sp macro="" textlink="">
          <xdr:nvSpPr>
            <xdr:cNvPr id="29780" name="Drop Down 84" hidden="1">
              <a:extLst>
                <a:ext uri="{63B3BB69-23CF-44E3-9099-C40C66FF867C}">
                  <a14:compatExt spid="_x0000_s29780"/>
                </a:ext>
                <a:ext uri="{FF2B5EF4-FFF2-40B4-BE49-F238E27FC236}">
                  <a16:creationId xmlns:a16="http://schemas.microsoft.com/office/drawing/2014/main" id="{00000000-0008-0000-0100-0000547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1295400</xdr:colOff>
          <xdr:row>88</xdr:row>
          <xdr:rowOff>152400</xdr:rowOff>
        </xdr:from>
        <xdr:to>
          <xdr:col>5</xdr:col>
          <xdr:colOff>257175</xdr:colOff>
          <xdr:row>90</xdr:row>
          <xdr:rowOff>9525</xdr:rowOff>
        </xdr:to>
        <xdr:sp macro="" textlink="">
          <xdr:nvSpPr>
            <xdr:cNvPr id="29781" name="Drop Down 85" hidden="1">
              <a:extLst>
                <a:ext uri="{63B3BB69-23CF-44E3-9099-C40C66FF867C}">
                  <a14:compatExt spid="_x0000_s29781"/>
                </a:ext>
                <a:ext uri="{FF2B5EF4-FFF2-40B4-BE49-F238E27FC236}">
                  <a16:creationId xmlns:a16="http://schemas.microsoft.com/office/drawing/2014/main" id="{00000000-0008-0000-0100-0000557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3</xdr:row>
          <xdr:rowOff>152400</xdr:rowOff>
        </xdr:from>
        <xdr:to>
          <xdr:col>5</xdr:col>
          <xdr:colOff>114300</xdr:colOff>
          <xdr:row>5</xdr:row>
          <xdr:rowOff>28575</xdr:rowOff>
        </xdr:to>
        <xdr:sp macro="" textlink="">
          <xdr:nvSpPr>
            <xdr:cNvPr id="29783" name="Drop Down 1" hidden="1">
              <a:extLst>
                <a:ext uri="{63B3BB69-23CF-44E3-9099-C40C66FF867C}">
                  <a14:compatExt spid="_x0000_s29783"/>
                </a:ext>
                <a:ext uri="{FF2B5EF4-FFF2-40B4-BE49-F238E27FC236}">
                  <a16:creationId xmlns:a16="http://schemas.microsoft.com/office/drawing/2014/main" id="{00000000-0008-0000-0100-0000577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5</xdr:row>
          <xdr:rowOff>180975</xdr:rowOff>
        </xdr:from>
        <xdr:to>
          <xdr:col>5</xdr:col>
          <xdr:colOff>114300</xdr:colOff>
          <xdr:row>7</xdr:row>
          <xdr:rowOff>28575</xdr:rowOff>
        </xdr:to>
        <xdr:sp macro="" textlink="">
          <xdr:nvSpPr>
            <xdr:cNvPr id="29784" name="Drop Down 88" hidden="1">
              <a:extLst>
                <a:ext uri="{63B3BB69-23CF-44E3-9099-C40C66FF867C}">
                  <a14:compatExt spid="_x0000_s29784"/>
                </a:ext>
                <a:ext uri="{FF2B5EF4-FFF2-40B4-BE49-F238E27FC236}">
                  <a16:creationId xmlns:a16="http://schemas.microsoft.com/office/drawing/2014/main" id="{00000000-0008-0000-0100-0000587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99</xdr:row>
          <xdr:rowOff>180975</xdr:rowOff>
        </xdr:from>
        <xdr:to>
          <xdr:col>5</xdr:col>
          <xdr:colOff>238125</xdr:colOff>
          <xdr:row>101</xdr:row>
          <xdr:rowOff>0</xdr:rowOff>
        </xdr:to>
        <xdr:sp macro="" textlink="">
          <xdr:nvSpPr>
            <xdr:cNvPr id="29787" name="Drop Down 91" hidden="1">
              <a:extLst>
                <a:ext uri="{63B3BB69-23CF-44E3-9099-C40C66FF867C}">
                  <a14:compatExt spid="_x0000_s29787"/>
                </a:ext>
                <a:ext uri="{FF2B5EF4-FFF2-40B4-BE49-F238E27FC236}">
                  <a16:creationId xmlns:a16="http://schemas.microsoft.com/office/drawing/2014/main" id="{00000000-0008-0000-0100-00005B7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omments" Target="../comments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63"/>
  <sheetViews>
    <sheetView showGridLines="0" tabSelected="1" defaultGridColor="0" colorId="8" workbookViewId="0">
      <selection activeCell="M16" sqref="M16"/>
    </sheetView>
  </sheetViews>
  <sheetFormatPr defaultColWidth="0" defaultRowHeight="13.9" zeroHeight="1" x14ac:dyDescent="0.4"/>
  <cols>
    <col min="1" max="1" width="2.265625" style="149" customWidth="1"/>
    <col min="2" max="2" width="29.1328125" style="149" customWidth="1"/>
    <col min="3" max="3" width="10.265625" style="149" customWidth="1"/>
    <col min="4" max="4" width="10.1328125" style="149" customWidth="1"/>
    <col min="5" max="5" width="9.73046875" style="149" bestFit="1" customWidth="1"/>
    <col min="6" max="6" width="12" style="149" customWidth="1"/>
    <col min="7" max="8" width="9.265625" style="149" customWidth="1"/>
    <col min="9" max="9" width="10.3984375" style="149" customWidth="1"/>
    <col min="10" max="10" width="9.3984375" style="149" customWidth="1"/>
    <col min="11" max="11" width="1.3984375" style="149" customWidth="1"/>
    <col min="12" max="12" width="24.1328125" style="149" customWidth="1"/>
    <col min="13" max="13" width="13.265625" style="149" customWidth="1"/>
    <col min="14" max="14" width="9.86328125" style="149" bestFit="1" customWidth="1"/>
    <col min="15" max="15" width="15.1328125" style="149" customWidth="1"/>
    <col min="16" max="16" width="3.3984375" style="149" customWidth="1"/>
    <col min="17" max="16384" width="0" style="149" hidden="1"/>
  </cols>
  <sheetData>
    <row r="1" spans="1:15" ht="31.7" customHeight="1" x14ac:dyDescent="0.45">
      <c r="A1" s="150" t="s">
        <v>176</v>
      </c>
    </row>
    <row r="2" spans="1:15" ht="19.7" customHeight="1" x14ac:dyDescent="0.4">
      <c r="B2" s="135" t="s">
        <v>174</v>
      </c>
      <c r="C2" s="136"/>
      <c r="D2" s="136"/>
      <c r="E2" s="136"/>
      <c r="F2" s="136"/>
      <c r="G2" s="151"/>
      <c r="H2" s="151"/>
      <c r="I2" s="151"/>
      <c r="J2" s="151"/>
    </row>
    <row r="3" spans="1:15" ht="16.7" customHeight="1" x14ac:dyDescent="0.55000000000000004">
      <c r="B3" s="152" t="s">
        <v>17</v>
      </c>
      <c r="C3" s="562" t="str">
        <f>'Data input'!J1</f>
        <v>Joe Bloggs' cattle station</v>
      </c>
      <c r="D3" s="562"/>
      <c r="E3" s="562"/>
      <c r="F3" s="153"/>
      <c r="G3" s="153"/>
      <c r="H3" s="153"/>
      <c r="I3" s="153"/>
      <c r="J3" s="154"/>
      <c r="L3" s="155" t="s">
        <v>15</v>
      </c>
      <c r="M3" s="177" t="s">
        <v>178</v>
      </c>
      <c r="N3" s="156" t="s">
        <v>23</v>
      </c>
      <c r="O3" s="178" t="s">
        <v>178</v>
      </c>
    </row>
    <row r="4" spans="1:15" ht="16.7" customHeight="1" x14ac:dyDescent="0.55000000000000004">
      <c r="B4" s="157" t="s">
        <v>450</v>
      </c>
      <c r="C4" s="7" t="str">
        <f>'Electicity, Gas &amp; Diesel'!L14</f>
        <v>Tas</v>
      </c>
      <c r="D4" s="7"/>
      <c r="E4" s="7"/>
      <c r="F4" s="7"/>
      <c r="G4" s="7"/>
      <c r="H4" s="7"/>
      <c r="I4" s="7"/>
      <c r="J4" s="160"/>
      <c r="L4" s="174" t="s">
        <v>772</v>
      </c>
      <c r="M4" s="324">
        <f>'Electicity, Gas &amp; Diesel'!C57</f>
        <v>112.91203725336837</v>
      </c>
      <c r="N4" s="158" t="s">
        <v>65</v>
      </c>
      <c r="O4" s="159">
        <f>SUM(M4:M7)</f>
        <v>255.31097058670173</v>
      </c>
    </row>
    <row r="5" spans="1:15" ht="15.95" customHeight="1" x14ac:dyDescent="0.55000000000000004">
      <c r="B5" s="152" t="s">
        <v>7</v>
      </c>
      <c r="C5" s="172" t="str">
        <f>'Data input'!D9</f>
        <v>Bulls &gt;1</v>
      </c>
      <c r="D5" s="172" t="str">
        <f>'Data input'!E9</f>
        <v>Bulls&lt;1</v>
      </c>
      <c r="E5" s="172" t="str">
        <f>'Data input'!F9</f>
        <v>Steers&lt;1</v>
      </c>
      <c r="F5" s="172" t="str">
        <f>'Data input'!G9</f>
        <v>Cows 1 to 2</v>
      </c>
      <c r="G5" s="172" t="str">
        <f>'Data input'!H9</f>
        <v>Cows &gt;2</v>
      </c>
      <c r="H5" s="172" t="str">
        <f>'Data input'!I9</f>
        <v>Cows&lt;1</v>
      </c>
      <c r="I5" s="172" t="str">
        <f>'Data input'!J9</f>
        <v>Steers&gt;1</v>
      </c>
      <c r="J5" s="179" t="str">
        <f>'Data input'!K9</f>
        <v>Units</v>
      </c>
      <c r="L5" s="157" t="s">
        <v>402</v>
      </c>
      <c r="M5" s="161">
        <f>Transport!D30</f>
        <v>0</v>
      </c>
      <c r="N5" s="158" t="s">
        <v>67</v>
      </c>
      <c r="O5" s="159">
        <f>SUM(M8:M12)</f>
        <v>15772.215137681604</v>
      </c>
    </row>
    <row r="6" spans="1:15" ht="16.149999999999999" x14ac:dyDescent="0.55000000000000004">
      <c r="B6" s="157" t="s">
        <v>9</v>
      </c>
      <c r="C6" s="7">
        <f>'Data input'!D14</f>
        <v>155.75</v>
      </c>
      <c r="D6" s="7">
        <f>'Data input'!E14</f>
        <v>51</v>
      </c>
      <c r="E6" s="7">
        <f>'Data input'!F14</f>
        <v>2169.75</v>
      </c>
      <c r="F6" s="7">
        <f>'Data input'!G14</f>
        <v>1793</v>
      </c>
      <c r="G6" s="7">
        <f>'Data input'!H14</f>
        <v>4734.25</v>
      </c>
      <c r="H6" s="7">
        <f>'Data input'!I14</f>
        <v>2275</v>
      </c>
      <c r="I6" s="7">
        <f>'Data input'!J14</f>
        <v>1247.75</v>
      </c>
      <c r="J6" s="160" t="str">
        <f>'Data input'!K14</f>
        <v>head</v>
      </c>
      <c r="L6" s="157" t="s">
        <v>754</v>
      </c>
      <c r="M6" s="161">
        <f>Liming!F15</f>
        <v>6.4799999999999995</v>
      </c>
      <c r="N6" s="173" t="s">
        <v>68</v>
      </c>
      <c r="O6" s="193">
        <f>SUM(M13:M19)</f>
        <v>6033.488636105254</v>
      </c>
    </row>
    <row r="7" spans="1:15" ht="16.149999999999999" x14ac:dyDescent="0.55000000000000004">
      <c r="B7" s="157" t="s">
        <v>33</v>
      </c>
      <c r="C7" s="8">
        <f>'Data input'!D20</f>
        <v>718.75</v>
      </c>
      <c r="D7" s="8">
        <f>'Data input'!E20</f>
        <v>161.25</v>
      </c>
      <c r="E7" s="8">
        <f>'Data input'!F20</f>
        <v>173.75</v>
      </c>
      <c r="F7" s="8">
        <f>'Data input'!G20</f>
        <v>347.5</v>
      </c>
      <c r="G7" s="8">
        <f>'Data input'!H20</f>
        <v>495</v>
      </c>
      <c r="H7" s="8">
        <f>'Data input'!I20</f>
        <v>161.25</v>
      </c>
      <c r="I7" s="8">
        <f>'Data input'!J20</f>
        <v>325</v>
      </c>
      <c r="J7" s="160" t="str">
        <f>'Data input'!K20</f>
        <v>kg/head</v>
      </c>
      <c r="L7" s="157" t="s">
        <v>753</v>
      </c>
      <c r="M7" s="161">
        <f>'Urea Application'!C22</f>
        <v>135.91893333333334</v>
      </c>
    </row>
    <row r="8" spans="1:15" ht="16.149999999999999" x14ac:dyDescent="0.55000000000000004">
      <c r="B8" s="157" t="s">
        <v>37</v>
      </c>
      <c r="C8" s="9">
        <f>'Data input'!D26</f>
        <v>0.32</v>
      </c>
      <c r="D8" s="9">
        <f>'Data input'!E26</f>
        <v>0.67499999999999993</v>
      </c>
      <c r="E8" s="9">
        <f>'Data input'!F26</f>
        <v>0.6925</v>
      </c>
      <c r="F8" s="9">
        <f>'Data input'!G26</f>
        <v>0.47000000000000003</v>
      </c>
      <c r="G8" s="9">
        <f>'Data input'!H26</f>
        <v>4.2499999999999968E-2</v>
      </c>
      <c r="H8" s="9">
        <f>'Data input'!I26</f>
        <v>0.69</v>
      </c>
      <c r="I8" s="9">
        <f>'Data input'!J26</f>
        <v>0.7</v>
      </c>
      <c r="J8" s="160" t="str">
        <f>'Data input'!K26</f>
        <v>kg/day</v>
      </c>
      <c r="L8" s="157" t="s">
        <v>446</v>
      </c>
      <c r="M8" s="161">
        <f>'Electicity, Gas &amp; Diesel'!C90</f>
        <v>0.1418078824</v>
      </c>
    </row>
    <row r="9" spans="1:15" ht="16.149999999999999" x14ac:dyDescent="0.55000000000000004">
      <c r="B9" s="157" t="s">
        <v>39</v>
      </c>
      <c r="C9" s="10">
        <f>'Data input'!D32</f>
        <v>6.875</v>
      </c>
      <c r="D9" s="10">
        <f>'Data input'!E32</f>
        <v>6.875</v>
      </c>
      <c r="E9" s="10">
        <f>'Data input'!F32</f>
        <v>6.875</v>
      </c>
      <c r="F9" s="10">
        <f>'Data input'!G32</f>
        <v>6.875</v>
      </c>
      <c r="G9" s="10">
        <f>'Data input'!H32</f>
        <v>6.875</v>
      </c>
      <c r="H9" s="10">
        <f>'Data input'!I32</f>
        <v>6.875</v>
      </c>
      <c r="I9" s="10">
        <f>'Data input'!J32</f>
        <v>6.875</v>
      </c>
      <c r="J9" s="160" t="str">
        <f>'Data input'!K32</f>
        <v>%</v>
      </c>
      <c r="L9" s="157" t="s">
        <v>66</v>
      </c>
      <c r="M9" s="161">
        <f>'Enteric fermentation'!N35</f>
        <v>15766.938847692454</v>
      </c>
    </row>
    <row r="10" spans="1:15" ht="16.7" customHeight="1" x14ac:dyDescent="0.55000000000000004">
      <c r="B10" s="162" t="s">
        <v>188</v>
      </c>
      <c r="C10" s="144">
        <f>'Data input'!D38</f>
        <v>52</v>
      </c>
      <c r="D10" s="144">
        <f>'Data input'!E38</f>
        <v>52</v>
      </c>
      <c r="E10" s="144">
        <f>'Data input'!F38</f>
        <v>52</v>
      </c>
      <c r="F10" s="144">
        <f>'Data input'!G38</f>
        <v>52</v>
      </c>
      <c r="G10" s="144">
        <f>'Data input'!H38</f>
        <v>52</v>
      </c>
      <c r="H10" s="144">
        <f>'Data input'!I38</f>
        <v>52</v>
      </c>
      <c r="I10" s="144">
        <f>'Data input'!J38</f>
        <v>52</v>
      </c>
      <c r="J10" s="163" t="str">
        <f>'Data input'!K38</f>
        <v>%</v>
      </c>
      <c r="L10" s="157" t="s">
        <v>773</v>
      </c>
      <c r="M10" s="161">
        <f>'Manure management'!C48</f>
        <v>5.1344821067495516</v>
      </c>
    </row>
    <row r="11" spans="1:15" ht="15.95" customHeight="1" x14ac:dyDescent="0.55000000000000004">
      <c r="B11" s="152"/>
      <c r="C11" s="477" t="s">
        <v>453</v>
      </c>
      <c r="D11" s="477" t="s">
        <v>454</v>
      </c>
      <c r="E11" s="153"/>
      <c r="F11" s="153"/>
      <c r="G11" s="153"/>
      <c r="H11" s="153"/>
      <c r="I11" s="153"/>
      <c r="J11" s="154"/>
      <c r="L11" s="157" t="s">
        <v>380</v>
      </c>
      <c r="M11" s="161">
        <f>'Savannah Burning'!E96</f>
        <v>0</v>
      </c>
    </row>
    <row r="12" spans="1:15" ht="18.600000000000001" customHeight="1" x14ac:dyDescent="0.55000000000000004">
      <c r="B12" s="174" t="s">
        <v>19</v>
      </c>
      <c r="C12" s="175">
        <f>'Data input'!D41</f>
        <v>0</v>
      </c>
      <c r="D12" s="175">
        <f>'Data input'!F41</f>
        <v>0</v>
      </c>
      <c r="E12" s="175"/>
      <c r="F12" s="175"/>
      <c r="G12" s="175"/>
      <c r="H12" s="175"/>
      <c r="I12" s="175"/>
      <c r="J12" s="176" t="s">
        <v>20</v>
      </c>
      <c r="L12" s="157" t="s">
        <v>439</v>
      </c>
      <c r="M12" s="161">
        <f>Transport!D31</f>
        <v>0</v>
      </c>
    </row>
    <row r="13" spans="1:15" ht="16.7" customHeight="1" x14ac:dyDescent="0.55000000000000004">
      <c r="B13" s="157" t="s">
        <v>18</v>
      </c>
      <c r="C13" s="7">
        <f>'Data input'!D42</f>
        <v>5637</v>
      </c>
      <c r="D13" s="7">
        <f>'Data input'!F42</f>
        <v>0</v>
      </c>
      <c r="E13" s="11"/>
      <c r="F13" s="11"/>
      <c r="G13" s="11"/>
      <c r="H13" s="11"/>
      <c r="I13" s="11"/>
      <c r="J13" s="160" t="s">
        <v>20</v>
      </c>
      <c r="L13" s="157" t="s">
        <v>776</v>
      </c>
      <c r="M13" s="161">
        <f>'Agricultural soils'!C111</f>
        <v>348.35123368571425</v>
      </c>
    </row>
    <row r="14" spans="1:15" ht="15.95" customHeight="1" x14ac:dyDescent="0.55000000000000004">
      <c r="B14" s="157" t="s">
        <v>60</v>
      </c>
      <c r="C14" s="7">
        <f>'Data input'!D56+'Data input'!D70</f>
        <v>65.98244633670393</v>
      </c>
      <c r="D14" s="7">
        <f>'Data input'!F56+'Data input'!F70</f>
        <v>0</v>
      </c>
      <c r="E14" s="7"/>
      <c r="F14" s="7"/>
      <c r="G14" s="7"/>
      <c r="H14" s="7"/>
      <c r="I14" s="7"/>
      <c r="J14" s="160" t="s">
        <v>22</v>
      </c>
      <c r="L14" s="157" t="s">
        <v>777</v>
      </c>
      <c r="M14" s="161">
        <f>'Agricultural soils'!C139</f>
        <v>5258.1267592721397</v>
      </c>
    </row>
    <row r="15" spans="1:15" ht="16.7" customHeight="1" x14ac:dyDescent="0.55000000000000004">
      <c r="B15" s="162" t="s">
        <v>61</v>
      </c>
      <c r="C15" s="164">
        <f>'Data input'!D49+'Data input'!D63</f>
        <v>0</v>
      </c>
      <c r="D15" s="164">
        <f>'Data input'!F49+'Data input'!F63</f>
        <v>0</v>
      </c>
      <c r="E15" s="164"/>
      <c r="F15" s="164"/>
      <c r="G15" s="164"/>
      <c r="H15" s="164"/>
      <c r="I15" s="164"/>
      <c r="J15" s="163" t="s">
        <v>22</v>
      </c>
      <c r="L15" s="157" t="s">
        <v>774</v>
      </c>
      <c r="M15" s="161">
        <f>'Agricultural soils'!C204</f>
        <v>34.835123368571431</v>
      </c>
    </row>
    <row r="16" spans="1:15" ht="16.149999999999999" x14ac:dyDescent="0.55000000000000004">
      <c r="B16" s="157" t="s">
        <v>12</v>
      </c>
      <c r="C16" s="7">
        <f>'Data input'!D94</f>
        <v>35900</v>
      </c>
      <c r="D16" s="7"/>
      <c r="E16" s="7"/>
      <c r="F16" s="7"/>
      <c r="G16" s="7"/>
      <c r="H16" s="7"/>
      <c r="I16" s="7"/>
      <c r="J16" s="160" t="s">
        <v>10</v>
      </c>
      <c r="L16" s="157" t="s">
        <v>781</v>
      </c>
      <c r="M16" s="161">
        <f>'Agricultural soils'!C281</f>
        <v>391.89513789642854</v>
      </c>
    </row>
    <row r="17" spans="2:13" ht="16.149999999999999" x14ac:dyDescent="0.55000000000000004">
      <c r="B17" s="157" t="s">
        <v>383</v>
      </c>
      <c r="C17" s="7">
        <f>'Data input'!D95</f>
        <v>629.15999999999985</v>
      </c>
      <c r="D17" s="7"/>
      <c r="E17" s="7"/>
      <c r="F17" s="7"/>
      <c r="G17" s="7"/>
      <c r="H17" s="7"/>
      <c r="I17" s="7"/>
      <c r="J17" s="160" t="s">
        <v>10</v>
      </c>
      <c r="L17" s="157" t="s">
        <v>782</v>
      </c>
      <c r="M17" s="161">
        <f>'Savannah Burning'!E113</f>
        <v>0</v>
      </c>
    </row>
    <row r="18" spans="2:13" ht="16.149999999999999" x14ac:dyDescent="0.55000000000000004">
      <c r="B18" s="157" t="s">
        <v>34</v>
      </c>
      <c r="C18" s="7">
        <f>'Data input'!D96</f>
        <v>163097</v>
      </c>
      <c r="D18" s="7"/>
      <c r="E18" s="7"/>
      <c r="F18" s="7"/>
      <c r="G18" s="7"/>
      <c r="H18" s="7"/>
      <c r="I18" s="7"/>
      <c r="J18" s="160" t="s">
        <v>11</v>
      </c>
      <c r="L18" s="157" t="s">
        <v>447</v>
      </c>
      <c r="M18" s="161">
        <f>'Electicity, Gas &amp; Diesel'!C91</f>
        <v>0.2803818824</v>
      </c>
    </row>
    <row r="19" spans="2:13" ht="18.75" customHeight="1" x14ac:dyDescent="0.55000000000000004">
      <c r="B19" s="175" t="s">
        <v>403</v>
      </c>
      <c r="C19" s="175">
        <f>'Data input'!D99</f>
        <v>0</v>
      </c>
      <c r="D19" s="175"/>
      <c r="E19" s="175"/>
      <c r="F19" s="175"/>
      <c r="G19" s="175"/>
      <c r="H19" s="175"/>
      <c r="I19" s="175"/>
      <c r="J19" s="176" t="s">
        <v>770</v>
      </c>
      <c r="L19" s="157" t="s">
        <v>440</v>
      </c>
      <c r="M19" s="543">
        <f>Transport!D32</f>
        <v>0</v>
      </c>
    </row>
    <row r="20" spans="2:13" ht="18.75" customHeight="1" x14ac:dyDescent="0.4">
      <c r="B20" s="539" t="s">
        <v>21</v>
      </c>
      <c r="C20" s="173" t="str">
        <f>'Electicity, Gas &amp; Diesel'!D36</f>
        <v>State Grid</v>
      </c>
      <c r="D20" s="164"/>
      <c r="E20" s="164"/>
      <c r="F20" s="164"/>
      <c r="G20" s="164"/>
      <c r="H20" s="164"/>
      <c r="I20" s="164"/>
      <c r="J20" s="163"/>
      <c r="L20" s="155" t="s">
        <v>35</v>
      </c>
      <c r="M20" s="538">
        <f>SUM(M4:M19)</f>
        <v>22061.014744373559</v>
      </c>
    </row>
    <row r="21" spans="2:13" ht="18.600000000000001" customHeight="1" x14ac:dyDescent="0.4"/>
    <row r="22" spans="2:13" ht="18.75" customHeight="1" x14ac:dyDescent="0.4"/>
    <row r="23" spans="2:13" ht="24.95" customHeight="1" x14ac:dyDescent="0.4"/>
    <row r="24" spans="2:13" ht="21.95" customHeight="1" x14ac:dyDescent="0.4"/>
    <row r="25" spans="2:13" ht="317.10000000000002" customHeight="1" x14ac:dyDescent="0.4">
      <c r="D25" s="165"/>
    </row>
    <row r="26" spans="2:13" ht="16.5" hidden="1" customHeight="1" x14ac:dyDescent="0.4">
      <c r="C26" s="166"/>
      <c r="E26" s="167"/>
    </row>
    <row r="27" spans="2:13" hidden="1" x14ac:dyDescent="0.4"/>
    <row r="28" spans="2:13" hidden="1" x14ac:dyDescent="0.4"/>
    <row r="29" spans="2:13" hidden="1" x14ac:dyDescent="0.4"/>
    <row r="30" spans="2:13" hidden="1" x14ac:dyDescent="0.4">
      <c r="D30" s="165"/>
    </row>
    <row r="31" spans="2:13" hidden="1" x14ac:dyDescent="0.4">
      <c r="D31" s="165"/>
    </row>
    <row r="32" spans="2:13" hidden="1" x14ac:dyDescent="0.4">
      <c r="D32" s="165"/>
    </row>
    <row r="33" spans="4:4" hidden="1" x14ac:dyDescent="0.4">
      <c r="D33" s="165"/>
    </row>
    <row r="34" spans="4:4" hidden="1" x14ac:dyDescent="0.4">
      <c r="D34" s="165"/>
    </row>
    <row r="35" spans="4:4" hidden="1" x14ac:dyDescent="0.4"/>
    <row r="36" spans="4:4" hidden="1" x14ac:dyDescent="0.4"/>
    <row r="37" spans="4:4" hidden="1" x14ac:dyDescent="0.4"/>
    <row r="38" spans="4:4" hidden="1" x14ac:dyDescent="0.4"/>
    <row r="39" spans="4:4" hidden="1" x14ac:dyDescent="0.4"/>
    <row r="40" spans="4:4" hidden="1" x14ac:dyDescent="0.4"/>
    <row r="41" spans="4:4" hidden="1" x14ac:dyDescent="0.4"/>
    <row r="42" spans="4:4" hidden="1" x14ac:dyDescent="0.4"/>
    <row r="43" spans="4:4" hidden="1" x14ac:dyDescent="0.4"/>
    <row r="44" spans="4:4" hidden="1" x14ac:dyDescent="0.4"/>
    <row r="45" spans="4:4" hidden="1" x14ac:dyDescent="0.4"/>
    <row r="46" spans="4:4" hidden="1" x14ac:dyDescent="0.4"/>
    <row r="47" spans="4:4" hidden="1" x14ac:dyDescent="0.4"/>
    <row r="48" spans="4:4" hidden="1" x14ac:dyDescent="0.4"/>
    <row r="49" hidden="1" x14ac:dyDescent="0.4"/>
    <row r="50" hidden="1" x14ac:dyDescent="0.4"/>
    <row r="51" hidden="1" x14ac:dyDescent="0.4"/>
    <row r="52" hidden="1" x14ac:dyDescent="0.4"/>
    <row r="53" hidden="1" x14ac:dyDescent="0.4"/>
    <row r="54" hidden="1" x14ac:dyDescent="0.4"/>
    <row r="55" hidden="1" x14ac:dyDescent="0.4"/>
    <row r="56" hidden="1" x14ac:dyDescent="0.4"/>
    <row r="57" hidden="1" x14ac:dyDescent="0.4"/>
    <row r="58" hidden="1" x14ac:dyDescent="0.4"/>
    <row r="59" hidden="1" x14ac:dyDescent="0.4"/>
    <row r="60" hidden="1" x14ac:dyDescent="0.4"/>
    <row r="61" hidden="1" x14ac:dyDescent="0.4"/>
    <row r="62" hidden="1" x14ac:dyDescent="0.4"/>
    <row r="63" hidden="1" x14ac:dyDescent="0.4"/>
  </sheetData>
  <sheetProtection sheet="1" objects="1" scenarios="1"/>
  <mergeCells count="1">
    <mergeCell ref="C3:E3"/>
  </mergeCells>
  <phoneticPr fontId="12" type="noConversion"/>
  <pageMargins left="0.75" right="0.75" top="1" bottom="1" header="0.5" footer="0.5"/>
  <pageSetup paperSize="9" scale="87" orientation="landscape" horizontalDpi="300" verticalDpi="300"/>
  <drawing r:id="rId1"/>
  <picture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F245"/>
  <sheetViews>
    <sheetView showGridLines="0" workbookViewId="0"/>
  </sheetViews>
  <sheetFormatPr defaultColWidth="8.86328125" defaultRowHeight="15.4" x14ac:dyDescent="0.45"/>
  <cols>
    <col min="1" max="1" width="3" style="423" customWidth="1"/>
    <col min="2" max="2" width="38.3984375" style="423" customWidth="1"/>
    <col min="3" max="3" width="17.3984375" style="423" bestFit="1" customWidth="1"/>
    <col min="4" max="4" width="10.3984375" style="423" customWidth="1"/>
    <col min="5" max="5" width="11.1328125" style="423" customWidth="1"/>
    <col min="6" max="8" width="9.73046875" style="423" bestFit="1" customWidth="1"/>
    <col min="9" max="9" width="36.86328125" style="423" customWidth="1"/>
    <col min="10" max="10" width="12" style="423" customWidth="1"/>
    <col min="11" max="20" width="12.73046875" style="423" customWidth="1"/>
    <col min="21" max="21" width="8.86328125" style="423"/>
    <col min="22" max="30" width="15.73046875" style="423" customWidth="1"/>
    <col min="31" max="32" width="8.86328125" style="423"/>
    <col min="33" max="16384" width="8.86328125" style="365"/>
  </cols>
  <sheetData>
    <row r="1" spans="1:32" ht="27" customHeight="1" x14ac:dyDescent="0.6">
      <c r="A1" s="3"/>
      <c r="B1" s="367" t="s">
        <v>16</v>
      </c>
      <c r="C1" s="3"/>
      <c r="D1" s="3"/>
      <c r="E1" s="3"/>
      <c r="F1" s="3"/>
      <c r="G1" s="3"/>
      <c r="H1" s="3"/>
      <c r="I1" s="3"/>
      <c r="J1" s="3"/>
      <c r="K1" s="364"/>
      <c r="L1" s="364"/>
      <c r="M1" s="364"/>
      <c r="N1" s="364"/>
      <c r="O1" s="364"/>
      <c r="P1" s="364"/>
      <c r="Q1" s="364"/>
      <c r="R1" s="364"/>
      <c r="S1" s="3"/>
      <c r="T1" s="3"/>
      <c r="U1" s="3"/>
      <c r="V1" s="3"/>
      <c r="W1" s="3"/>
      <c r="X1" s="3"/>
      <c r="Y1" s="3"/>
      <c r="Z1" s="3"/>
      <c r="AA1" s="3"/>
      <c r="AB1" s="3"/>
      <c r="AC1" s="3"/>
      <c r="AD1" s="3"/>
      <c r="AE1" s="3"/>
      <c r="AF1" s="3"/>
    </row>
    <row r="2" spans="1:32" ht="17.25" x14ac:dyDescent="0.45">
      <c r="A2" s="22"/>
      <c r="B2" s="21"/>
      <c r="C2" s="3"/>
      <c r="D2" s="3"/>
      <c r="E2" s="3"/>
      <c r="F2" s="3"/>
      <c r="G2" s="3"/>
      <c r="H2" s="3"/>
      <c r="I2" s="3"/>
      <c r="J2" s="13"/>
      <c r="K2" s="13"/>
      <c r="L2" s="13"/>
      <c r="M2" s="13"/>
      <c r="N2" s="13"/>
      <c r="O2" s="13"/>
      <c r="P2" s="13"/>
      <c r="Q2" s="13"/>
      <c r="R2" s="13"/>
      <c r="S2" s="13"/>
      <c r="T2" s="3"/>
      <c r="U2" s="3"/>
      <c r="V2" s="3"/>
      <c r="W2" s="3"/>
      <c r="X2" s="3"/>
      <c r="Y2" s="3"/>
      <c r="Z2" s="3"/>
      <c r="AA2" s="3"/>
      <c r="AB2" s="3"/>
      <c r="AC2" s="3"/>
      <c r="AD2" s="3"/>
      <c r="AE2" s="3"/>
      <c r="AF2" s="3"/>
    </row>
    <row r="3" spans="1:32" ht="17.25" x14ac:dyDescent="0.45">
      <c r="A3" s="3"/>
      <c r="B3" s="368" t="s">
        <v>385</v>
      </c>
      <c r="C3" s="344"/>
      <c r="D3" s="344"/>
      <c r="E3" s="344"/>
      <c r="F3" s="344"/>
      <c r="G3" s="344"/>
      <c r="H3" s="344"/>
      <c r="I3" s="327"/>
      <c r="J3" s="13"/>
      <c r="K3" s="369" t="s">
        <v>50</v>
      </c>
      <c r="L3" s="125"/>
      <c r="M3" s="338"/>
      <c r="N3" s="338"/>
      <c r="O3" s="338"/>
      <c r="P3" s="125"/>
      <c r="Q3" s="338"/>
      <c r="R3" s="338"/>
      <c r="S3" s="338"/>
      <c r="T3" s="370"/>
      <c r="U3" s="3"/>
      <c r="V3" s="371" t="s">
        <v>468</v>
      </c>
      <c r="W3" s="372"/>
      <c r="X3" s="372"/>
      <c r="Y3" s="372"/>
      <c r="Z3" s="372"/>
      <c r="AA3" s="372"/>
      <c r="AB3" s="372"/>
      <c r="AC3" s="372"/>
      <c r="AD3" s="373"/>
      <c r="AE3" s="3"/>
      <c r="AF3" s="3"/>
    </row>
    <row r="4" spans="1:32" x14ac:dyDescent="0.45">
      <c r="A4" s="3"/>
      <c r="B4" s="334" t="s">
        <v>56</v>
      </c>
      <c r="C4" s="132"/>
      <c r="D4" s="132"/>
      <c r="E4" s="132"/>
      <c r="F4" s="374" t="s">
        <v>55</v>
      </c>
      <c r="G4" s="132"/>
      <c r="H4" s="132"/>
      <c r="I4" s="332" t="s">
        <v>381</v>
      </c>
      <c r="J4" s="13"/>
      <c r="K4" s="139">
        <v>1</v>
      </c>
      <c r="L4" s="13" t="s">
        <v>469</v>
      </c>
      <c r="M4" s="3"/>
      <c r="N4" s="3"/>
      <c r="O4" s="3"/>
      <c r="P4" s="3"/>
      <c r="Q4" s="3"/>
      <c r="R4" s="3"/>
      <c r="S4" s="3"/>
      <c r="T4" s="375"/>
      <c r="U4" s="3"/>
      <c r="V4" s="376"/>
      <c r="W4" s="377" t="s">
        <v>52</v>
      </c>
      <c r="X4" s="377" t="s">
        <v>390</v>
      </c>
      <c r="Y4" s="377" t="s">
        <v>177</v>
      </c>
      <c r="Z4" s="377" t="s">
        <v>53</v>
      </c>
      <c r="AA4" s="377" t="s">
        <v>391</v>
      </c>
      <c r="AB4" s="377" t="s">
        <v>470</v>
      </c>
      <c r="AC4" s="377" t="s">
        <v>471</v>
      </c>
      <c r="AD4" s="378" t="s">
        <v>36</v>
      </c>
      <c r="AE4" s="3"/>
      <c r="AF4" s="3"/>
    </row>
    <row r="5" spans="1:32" x14ac:dyDescent="0.45">
      <c r="A5" s="3"/>
      <c r="B5" s="132" t="s">
        <v>444</v>
      </c>
      <c r="C5" s="382">
        <f>'Data input'!D94*10^-3</f>
        <v>35.9</v>
      </c>
      <c r="D5" s="132"/>
      <c r="E5" s="132"/>
      <c r="F5" s="379" t="s">
        <v>472</v>
      </c>
      <c r="G5" s="132"/>
      <c r="H5" s="132"/>
      <c r="I5" s="380" t="s">
        <v>473</v>
      </c>
      <c r="J5" s="13"/>
      <c r="K5" s="139">
        <v>2</v>
      </c>
      <c r="L5" s="13" t="s">
        <v>474</v>
      </c>
      <c r="M5" s="3"/>
      <c r="N5" s="3"/>
      <c r="O5" s="3"/>
      <c r="P5" s="3"/>
      <c r="Q5" s="3"/>
      <c r="R5" s="3"/>
      <c r="S5" s="3"/>
      <c r="T5" s="375"/>
      <c r="U5" s="3"/>
      <c r="V5" s="376" t="s">
        <v>475</v>
      </c>
      <c r="W5" s="377">
        <v>11797</v>
      </c>
      <c r="X5" s="377">
        <v>0</v>
      </c>
      <c r="Y5" s="377">
        <v>1745</v>
      </c>
      <c r="Z5" s="377">
        <v>0</v>
      </c>
      <c r="AA5" s="377">
        <v>0</v>
      </c>
      <c r="AB5" s="377">
        <v>8805</v>
      </c>
      <c r="AC5" s="377">
        <v>0</v>
      </c>
      <c r="AD5" s="381">
        <f t="shared" ref="AD5:AD15" si="0">SUM(W5:AC5)</f>
        <v>22347</v>
      </c>
      <c r="AE5" s="3"/>
      <c r="AF5" s="3"/>
    </row>
    <row r="6" spans="1:32" x14ac:dyDescent="0.45">
      <c r="A6" s="3"/>
      <c r="B6" s="132" t="s">
        <v>476</v>
      </c>
      <c r="C6" s="345">
        <v>38.6</v>
      </c>
      <c r="D6" s="132"/>
      <c r="E6" s="132"/>
      <c r="F6" s="379" t="s">
        <v>427</v>
      </c>
      <c r="G6" s="132"/>
      <c r="H6" s="132"/>
      <c r="I6" s="332" t="s">
        <v>473</v>
      </c>
      <c r="J6" s="13"/>
      <c r="K6" s="139">
        <v>3</v>
      </c>
      <c r="L6" s="13" t="s">
        <v>390</v>
      </c>
      <c r="M6" s="3"/>
      <c r="N6" s="3"/>
      <c r="O6" s="3"/>
      <c r="P6" s="3"/>
      <c r="Q6" s="3"/>
      <c r="R6" s="3"/>
      <c r="S6" s="3"/>
      <c r="T6" s="375"/>
      <c r="U6" s="3"/>
      <c r="V6" s="376" t="s">
        <v>477</v>
      </c>
      <c r="W6" s="377">
        <v>0</v>
      </c>
      <c r="X6" s="377">
        <v>0</v>
      </c>
      <c r="Y6" s="377">
        <v>0</v>
      </c>
      <c r="Z6" s="377">
        <v>780</v>
      </c>
      <c r="AA6" s="377">
        <v>6555</v>
      </c>
      <c r="AB6" s="377">
        <v>0</v>
      </c>
      <c r="AC6" s="377">
        <v>0</v>
      </c>
      <c r="AD6" s="381">
        <f t="shared" si="0"/>
        <v>7335</v>
      </c>
      <c r="AE6" s="3"/>
      <c r="AF6" s="3"/>
    </row>
    <row r="7" spans="1:32" x14ac:dyDescent="0.45">
      <c r="A7" s="3"/>
      <c r="B7" s="132" t="s">
        <v>478</v>
      </c>
      <c r="C7" s="382">
        <v>69.900000000000006</v>
      </c>
      <c r="D7" s="132"/>
      <c r="E7" s="132"/>
      <c r="F7" s="379" t="s">
        <v>432</v>
      </c>
      <c r="G7" s="132"/>
      <c r="H7" s="132"/>
      <c r="I7" s="333"/>
      <c r="J7" s="13"/>
      <c r="K7" s="139">
        <v>4</v>
      </c>
      <c r="L7" s="13" t="s">
        <v>177</v>
      </c>
      <c r="M7" s="3"/>
      <c r="N7" s="3"/>
      <c r="O7" s="3"/>
      <c r="P7" s="3"/>
      <c r="Q7" s="3"/>
      <c r="R7" s="3"/>
      <c r="S7" s="3"/>
      <c r="T7" s="375"/>
      <c r="U7" s="3"/>
      <c r="V7" s="376" t="s">
        <v>479</v>
      </c>
      <c r="W7" s="377">
        <v>0</v>
      </c>
      <c r="X7" s="377">
        <v>0</v>
      </c>
      <c r="Y7" s="377">
        <v>268</v>
      </c>
      <c r="Z7" s="377">
        <v>1280</v>
      </c>
      <c r="AA7" s="377">
        <v>510</v>
      </c>
      <c r="AB7" s="377">
        <v>132</v>
      </c>
      <c r="AC7" s="377">
        <v>0</v>
      </c>
      <c r="AD7" s="381">
        <f t="shared" si="0"/>
        <v>2190</v>
      </c>
      <c r="AE7" s="3"/>
      <c r="AF7" s="3"/>
    </row>
    <row r="8" spans="1:32" ht="18" customHeight="1" x14ac:dyDescent="0.45">
      <c r="A8" s="3"/>
      <c r="B8" s="132"/>
      <c r="C8" s="132"/>
      <c r="D8" s="132"/>
      <c r="E8" s="132"/>
      <c r="F8" s="132"/>
      <c r="G8" s="132"/>
      <c r="H8" s="132"/>
      <c r="I8" s="332"/>
      <c r="J8" s="13"/>
      <c r="K8" s="139">
        <v>5</v>
      </c>
      <c r="L8" s="13" t="s">
        <v>53</v>
      </c>
      <c r="M8" s="3"/>
      <c r="N8" s="3"/>
      <c r="O8" s="3"/>
      <c r="P8" s="3"/>
      <c r="Q8" s="3"/>
      <c r="R8" s="3"/>
      <c r="S8" s="3"/>
      <c r="T8" s="375"/>
      <c r="U8" s="3"/>
      <c r="V8" s="376" t="s">
        <v>480</v>
      </c>
      <c r="W8" s="377">
        <v>0</v>
      </c>
      <c r="X8" s="377">
        <v>0</v>
      </c>
      <c r="Y8" s="377">
        <v>640</v>
      </c>
      <c r="Z8" s="377">
        <v>0</v>
      </c>
      <c r="AA8" s="377">
        <v>0</v>
      </c>
      <c r="AB8" s="377">
        <v>0</v>
      </c>
      <c r="AC8" s="377">
        <v>0</v>
      </c>
      <c r="AD8" s="381">
        <f t="shared" si="0"/>
        <v>640</v>
      </c>
      <c r="AE8" s="3"/>
      <c r="AF8" s="3"/>
    </row>
    <row r="9" spans="1:32" x14ac:dyDescent="0.45">
      <c r="A9" s="3"/>
      <c r="B9" s="334" t="s">
        <v>170</v>
      </c>
      <c r="C9" s="334" t="s">
        <v>481</v>
      </c>
      <c r="D9" s="132"/>
      <c r="E9" s="132"/>
      <c r="F9" s="132"/>
      <c r="G9" s="132"/>
      <c r="H9" s="132"/>
      <c r="I9" s="332"/>
      <c r="J9" s="13"/>
      <c r="K9" s="139">
        <v>6</v>
      </c>
      <c r="L9" s="13" t="s">
        <v>391</v>
      </c>
      <c r="M9" s="3"/>
      <c r="N9" s="3"/>
      <c r="O9" s="3"/>
      <c r="P9" s="3"/>
      <c r="Q9" s="3"/>
      <c r="R9" s="3"/>
      <c r="S9" s="3"/>
      <c r="T9" s="375"/>
      <c r="U9" s="3"/>
      <c r="V9" s="376" t="s">
        <v>482</v>
      </c>
      <c r="W9" s="377">
        <v>0</v>
      </c>
      <c r="X9" s="377">
        <v>0</v>
      </c>
      <c r="Y9" s="377">
        <v>0</v>
      </c>
      <c r="Z9" s="377">
        <v>50</v>
      </c>
      <c r="AA9" s="377">
        <v>0</v>
      </c>
      <c r="AB9" s="377">
        <v>0</v>
      </c>
      <c r="AC9" s="377">
        <v>77</v>
      </c>
      <c r="AD9" s="381">
        <f t="shared" si="0"/>
        <v>127</v>
      </c>
      <c r="AE9" s="3"/>
      <c r="AF9" s="3"/>
    </row>
    <row r="10" spans="1:32" x14ac:dyDescent="0.45">
      <c r="A10" s="3"/>
      <c r="B10" s="334"/>
      <c r="C10" s="132" t="s">
        <v>483</v>
      </c>
      <c r="D10" s="132"/>
      <c r="E10" s="132"/>
      <c r="F10" s="383" t="s">
        <v>484</v>
      </c>
      <c r="G10" s="132"/>
      <c r="H10" s="132"/>
      <c r="I10" s="326"/>
      <c r="J10" s="13"/>
      <c r="K10" s="139">
        <v>7</v>
      </c>
      <c r="L10" s="13" t="s">
        <v>470</v>
      </c>
      <c r="M10" s="3"/>
      <c r="N10" s="3"/>
      <c r="O10" s="3"/>
      <c r="P10" s="3"/>
      <c r="Q10" s="3"/>
      <c r="R10" s="3"/>
      <c r="S10" s="3"/>
      <c r="T10" s="375"/>
      <c r="U10" s="3"/>
      <c r="V10" s="376" t="s">
        <v>485</v>
      </c>
      <c r="W10" s="377">
        <v>1388</v>
      </c>
      <c r="X10" s="377">
        <v>283</v>
      </c>
      <c r="Y10" s="377">
        <v>1771</v>
      </c>
      <c r="Z10" s="377">
        <v>733</v>
      </c>
      <c r="AA10" s="377">
        <v>1321</v>
      </c>
      <c r="AB10" s="377">
        <v>907</v>
      </c>
      <c r="AC10" s="377">
        <v>322</v>
      </c>
      <c r="AD10" s="381">
        <f t="shared" si="0"/>
        <v>6725</v>
      </c>
      <c r="AE10" s="3"/>
      <c r="AF10" s="3"/>
    </row>
    <row r="11" spans="1:32" x14ac:dyDescent="0.45">
      <c r="A11" s="3"/>
      <c r="B11" s="334"/>
      <c r="C11" s="132" t="s">
        <v>486</v>
      </c>
      <c r="D11" s="132"/>
      <c r="E11" s="132"/>
      <c r="F11" s="383" t="s">
        <v>487</v>
      </c>
      <c r="G11" s="132"/>
      <c r="H11" s="132"/>
      <c r="I11" s="332" t="s">
        <v>488</v>
      </c>
      <c r="J11" s="13"/>
      <c r="K11" s="139">
        <v>8</v>
      </c>
      <c r="L11" s="13" t="s">
        <v>54</v>
      </c>
      <c r="M11" s="3"/>
      <c r="N11" s="3"/>
      <c r="O11" s="3"/>
      <c r="P11" s="3"/>
      <c r="Q11" s="3"/>
      <c r="R11" s="3"/>
      <c r="S11" s="3"/>
      <c r="T11" s="375"/>
      <c r="U11" s="3"/>
      <c r="V11" s="376" t="s">
        <v>489</v>
      </c>
      <c r="W11" s="377">
        <v>0</v>
      </c>
      <c r="X11" s="377">
        <v>0</v>
      </c>
      <c r="Y11" s="377">
        <v>0</v>
      </c>
      <c r="Z11" s="377">
        <v>0</v>
      </c>
      <c r="AA11" s="377">
        <v>0</v>
      </c>
      <c r="AB11" s="377">
        <v>519</v>
      </c>
      <c r="AC11" s="377">
        <v>0</v>
      </c>
      <c r="AD11" s="381">
        <f t="shared" si="0"/>
        <v>519</v>
      </c>
      <c r="AE11" s="3"/>
      <c r="AF11" s="3"/>
    </row>
    <row r="12" spans="1:32" x14ac:dyDescent="0.45">
      <c r="A12" s="3"/>
      <c r="B12" s="334"/>
      <c r="C12" s="132" t="s">
        <v>490</v>
      </c>
      <c r="D12" s="132"/>
      <c r="E12" s="132"/>
      <c r="F12" s="383" t="s">
        <v>491</v>
      </c>
      <c r="G12" s="132"/>
      <c r="H12" s="132"/>
      <c r="I12" s="332"/>
      <c r="J12" s="13"/>
      <c r="K12" s="139">
        <v>9</v>
      </c>
      <c r="L12" s="13" t="s">
        <v>751</v>
      </c>
      <c r="M12" s="3"/>
      <c r="N12" s="3"/>
      <c r="O12" s="3"/>
      <c r="P12" s="3"/>
      <c r="Q12" s="3"/>
      <c r="R12" s="3"/>
      <c r="S12" s="3"/>
      <c r="T12" s="375"/>
      <c r="U12" s="3"/>
      <c r="V12" s="376" t="s">
        <v>493</v>
      </c>
      <c r="W12" s="377">
        <v>50</v>
      </c>
      <c r="X12" s="377">
        <v>0</v>
      </c>
      <c r="Y12" s="377">
        <v>83</v>
      </c>
      <c r="Z12" s="377">
        <v>113</v>
      </c>
      <c r="AA12" s="377">
        <v>0</v>
      </c>
      <c r="AB12" s="377">
        <v>457</v>
      </c>
      <c r="AC12" s="377">
        <v>30</v>
      </c>
      <c r="AD12" s="381">
        <f t="shared" si="0"/>
        <v>733</v>
      </c>
      <c r="AE12" s="3"/>
      <c r="AF12" s="3"/>
    </row>
    <row r="13" spans="1:32" x14ac:dyDescent="0.45">
      <c r="A13" s="3"/>
      <c r="B13" s="334"/>
      <c r="C13" s="132" t="s">
        <v>494</v>
      </c>
      <c r="D13" s="132"/>
      <c r="E13" s="132"/>
      <c r="F13" s="383" t="s">
        <v>495</v>
      </c>
      <c r="G13" s="132"/>
      <c r="H13" s="132"/>
      <c r="I13" s="332"/>
      <c r="J13" s="13"/>
      <c r="K13" s="139">
        <v>10</v>
      </c>
      <c r="L13" s="13" t="s">
        <v>752</v>
      </c>
      <c r="M13" s="3"/>
      <c r="N13" s="3"/>
      <c r="O13" s="3"/>
      <c r="P13" s="3"/>
      <c r="Q13" s="3"/>
      <c r="R13" s="3"/>
      <c r="S13" s="3"/>
      <c r="T13" s="375"/>
      <c r="U13" s="3"/>
      <c r="V13" s="376" t="s">
        <v>497</v>
      </c>
      <c r="W13" s="377">
        <v>0</v>
      </c>
      <c r="X13" s="377">
        <v>0</v>
      </c>
      <c r="Y13" s="377">
        <v>586</v>
      </c>
      <c r="Z13" s="377">
        <v>0</v>
      </c>
      <c r="AA13" s="377">
        <v>0</v>
      </c>
      <c r="AB13" s="377">
        <v>0</v>
      </c>
      <c r="AC13" s="377">
        <v>0</v>
      </c>
      <c r="AD13" s="381">
        <f t="shared" si="0"/>
        <v>586</v>
      </c>
      <c r="AE13" s="3"/>
      <c r="AF13" s="3"/>
    </row>
    <row r="14" spans="1:32" x14ac:dyDescent="0.45">
      <c r="A14" s="3"/>
      <c r="B14" s="334"/>
      <c r="C14" s="346"/>
      <c r="D14" s="132"/>
      <c r="E14" s="132"/>
      <c r="F14" s="132"/>
      <c r="G14" s="132"/>
      <c r="H14" s="132"/>
      <c r="I14" s="332"/>
      <c r="J14" s="13"/>
      <c r="K14" s="384" t="s">
        <v>496</v>
      </c>
      <c r="L14" s="385" t="str">
        <f>INDEX(L4:L13,MATCH(C35,K4:K13,0))</f>
        <v>Tas</v>
      </c>
      <c r="M14" s="342"/>
      <c r="N14" s="342"/>
      <c r="O14" s="342"/>
      <c r="P14" s="342"/>
      <c r="Q14" s="342"/>
      <c r="R14" s="342"/>
      <c r="S14" s="342"/>
      <c r="T14" s="386"/>
      <c r="U14" s="3"/>
      <c r="V14" s="376" t="s">
        <v>498</v>
      </c>
      <c r="W14" s="377">
        <v>595</v>
      </c>
      <c r="X14" s="377">
        <v>208</v>
      </c>
      <c r="Y14" s="377">
        <v>680</v>
      </c>
      <c r="Z14" s="377">
        <v>663</v>
      </c>
      <c r="AA14" s="377">
        <v>0</v>
      </c>
      <c r="AB14" s="377">
        <v>215</v>
      </c>
      <c r="AC14" s="377">
        <v>131</v>
      </c>
      <c r="AD14" s="381">
        <f t="shared" si="0"/>
        <v>2492</v>
      </c>
      <c r="AE14" s="3"/>
      <c r="AF14" s="3"/>
    </row>
    <row r="15" spans="1:32" x14ac:dyDescent="0.45">
      <c r="A15" s="3"/>
      <c r="B15" s="334" t="s">
        <v>170</v>
      </c>
      <c r="C15" s="387">
        <f>(C5*C6*C7)*10^-3</f>
        <v>96.863226000000012</v>
      </c>
      <c r="D15" s="132"/>
      <c r="E15" s="132"/>
      <c r="F15" s="334" t="s">
        <v>382</v>
      </c>
      <c r="G15" s="132"/>
      <c r="H15" s="132"/>
      <c r="I15" s="332"/>
      <c r="J15" s="13"/>
      <c r="K15" s="3"/>
      <c r="L15" s="3"/>
      <c r="M15" s="3"/>
      <c r="N15" s="3"/>
      <c r="O15" s="3"/>
      <c r="P15" s="3"/>
      <c r="Q15" s="3"/>
      <c r="R15" s="3"/>
      <c r="S15" s="3"/>
      <c r="T15" s="3"/>
      <c r="U15" s="3"/>
      <c r="V15" s="376" t="s">
        <v>499</v>
      </c>
      <c r="W15" s="377">
        <v>0</v>
      </c>
      <c r="X15" s="377">
        <v>0</v>
      </c>
      <c r="Y15" s="377">
        <v>0</v>
      </c>
      <c r="Z15" s="377">
        <v>0</v>
      </c>
      <c r="AA15" s="377">
        <v>0</v>
      </c>
      <c r="AB15" s="377">
        <v>1395</v>
      </c>
      <c r="AC15" s="377">
        <v>0</v>
      </c>
      <c r="AD15" s="381">
        <f t="shared" si="0"/>
        <v>1395</v>
      </c>
      <c r="AE15" s="3"/>
      <c r="AF15" s="3"/>
    </row>
    <row r="16" spans="1:32" x14ac:dyDescent="0.45">
      <c r="A16" s="3"/>
      <c r="B16" s="132"/>
      <c r="C16" s="345"/>
      <c r="D16" s="132"/>
      <c r="E16" s="132"/>
      <c r="F16" s="132"/>
      <c r="G16" s="132"/>
      <c r="H16" s="132"/>
      <c r="I16" s="326"/>
      <c r="J16" s="13"/>
      <c r="K16" s="388" t="s">
        <v>340</v>
      </c>
      <c r="L16" s="389"/>
      <c r="M16" s="389"/>
      <c r="N16" s="389"/>
      <c r="O16" s="338"/>
      <c r="P16" s="125"/>
      <c r="Q16" s="338"/>
      <c r="R16" s="338"/>
      <c r="S16" s="338"/>
      <c r="T16" s="370"/>
      <c r="U16" s="3"/>
      <c r="V16" s="376" t="s">
        <v>36</v>
      </c>
      <c r="W16" s="377">
        <f t="shared" ref="W16:AD16" si="1">SUM(W5:W15)</f>
        <v>13830</v>
      </c>
      <c r="X16" s="377">
        <f>SUM(X5:X15)</f>
        <v>491</v>
      </c>
      <c r="Y16" s="377">
        <f>SUM(Y5:Y15)</f>
        <v>5773</v>
      </c>
      <c r="Z16" s="377">
        <f>SUM(Z5:Z15)</f>
        <v>3619</v>
      </c>
      <c r="AA16" s="377">
        <f>SUM(AA5:AA15)</f>
        <v>8386</v>
      </c>
      <c r="AB16" s="377">
        <f>SUM(AB5:AB15)</f>
        <v>12430</v>
      </c>
      <c r="AC16" s="377">
        <f t="shared" si="1"/>
        <v>560</v>
      </c>
      <c r="AD16" s="381">
        <f t="shared" si="1"/>
        <v>45089</v>
      </c>
      <c r="AE16" s="3"/>
      <c r="AF16" s="3"/>
    </row>
    <row r="17" spans="1:32" ht="17.25" x14ac:dyDescent="0.45">
      <c r="A17" s="3"/>
      <c r="B17" s="392" t="s">
        <v>369</v>
      </c>
      <c r="C17" s="345"/>
      <c r="D17" s="132"/>
      <c r="E17" s="132"/>
      <c r="F17" s="132"/>
      <c r="G17" s="132"/>
      <c r="H17" s="132"/>
      <c r="I17" s="326"/>
      <c r="J17" s="13"/>
      <c r="K17" s="390">
        <v>1</v>
      </c>
      <c r="L17" s="391" t="s">
        <v>404</v>
      </c>
      <c r="M17" s="391"/>
      <c r="N17" s="391"/>
      <c r="O17" s="3"/>
      <c r="P17" s="13"/>
      <c r="Q17" s="3"/>
      <c r="R17" s="3"/>
      <c r="S17" s="3"/>
      <c r="T17" s="375"/>
      <c r="U17" s="3"/>
      <c r="V17" s="376"/>
      <c r="W17" s="377"/>
      <c r="X17" s="377"/>
      <c r="Y17" s="377"/>
      <c r="Z17" s="377"/>
      <c r="AA17" s="377"/>
      <c r="AB17" s="377"/>
      <c r="AC17" s="377"/>
      <c r="AD17" s="381"/>
      <c r="AE17" s="3"/>
      <c r="AF17" s="3"/>
    </row>
    <row r="18" spans="1:32" x14ac:dyDescent="0.45">
      <c r="A18" s="3"/>
      <c r="B18" s="334" t="s">
        <v>56</v>
      </c>
      <c r="C18" s="345"/>
      <c r="D18" s="132"/>
      <c r="E18" s="132"/>
      <c r="F18" s="334" t="s">
        <v>55</v>
      </c>
      <c r="G18" s="132"/>
      <c r="H18" s="132"/>
      <c r="I18" s="326"/>
      <c r="J18" s="13"/>
      <c r="K18" s="393">
        <v>2</v>
      </c>
      <c r="L18" s="394" t="s">
        <v>405</v>
      </c>
      <c r="M18" s="394"/>
      <c r="N18" s="394"/>
      <c r="O18" s="342"/>
      <c r="P18" s="97"/>
      <c r="Q18" s="342"/>
      <c r="R18" s="342"/>
      <c r="S18" s="342"/>
      <c r="T18" s="386"/>
      <c r="U18" s="3"/>
      <c r="V18" s="376" t="s">
        <v>500</v>
      </c>
      <c r="W18" s="377"/>
      <c r="X18" s="377"/>
      <c r="Y18" s="377"/>
      <c r="Z18" s="377"/>
      <c r="AA18" s="377"/>
      <c r="AB18" s="377"/>
      <c r="AC18" s="377"/>
      <c r="AD18" s="381"/>
      <c r="AE18" s="3"/>
      <c r="AF18" s="3"/>
    </row>
    <row r="19" spans="1:32" x14ac:dyDescent="0.45">
      <c r="A19" s="3"/>
      <c r="B19" s="132" t="s">
        <v>386</v>
      </c>
      <c r="C19" s="382">
        <f>'Data input'!D95*10^-3</f>
        <v>0.62915999999999983</v>
      </c>
      <c r="D19" s="132"/>
      <c r="E19" s="132"/>
      <c r="F19" s="379" t="s">
        <v>472</v>
      </c>
      <c r="G19" s="132"/>
      <c r="H19" s="132"/>
      <c r="I19" s="326"/>
      <c r="J19" s="13"/>
      <c r="K19" s="3"/>
      <c r="L19" s="3"/>
      <c r="M19" s="3"/>
      <c r="N19" s="3"/>
      <c r="O19" s="3"/>
      <c r="P19" s="3"/>
      <c r="Q19" s="3"/>
      <c r="R19" s="3"/>
      <c r="S19" s="3"/>
      <c r="T19" s="3"/>
      <c r="U19" s="3"/>
      <c r="V19" s="376" t="s">
        <v>392</v>
      </c>
      <c r="W19" s="377" t="s">
        <v>52</v>
      </c>
      <c r="X19" s="377" t="s">
        <v>390</v>
      </c>
      <c r="Y19" s="377" t="s">
        <v>177</v>
      </c>
      <c r="Z19" s="377" t="s">
        <v>53</v>
      </c>
      <c r="AA19" s="377" t="s">
        <v>391</v>
      </c>
      <c r="AB19" s="377" t="s">
        <v>470</v>
      </c>
      <c r="AC19" s="377" t="s">
        <v>471</v>
      </c>
      <c r="AD19" s="378" t="s">
        <v>36</v>
      </c>
      <c r="AE19" s="3"/>
      <c r="AF19" s="3"/>
    </row>
    <row r="20" spans="1:32" x14ac:dyDescent="0.45">
      <c r="A20" s="3"/>
      <c r="B20" s="132" t="s">
        <v>476</v>
      </c>
      <c r="C20" s="345">
        <v>25.7</v>
      </c>
      <c r="D20" s="132"/>
      <c r="E20" s="132"/>
      <c r="F20" s="379" t="s">
        <v>427</v>
      </c>
      <c r="G20" s="132"/>
      <c r="H20" s="132"/>
      <c r="I20" s="380" t="s">
        <v>473</v>
      </c>
      <c r="J20" s="13"/>
      <c r="K20" s="337" t="s">
        <v>501</v>
      </c>
      <c r="L20" s="338"/>
      <c r="M20" s="338"/>
      <c r="N20" s="338"/>
      <c r="O20" s="338"/>
      <c r="P20" s="338"/>
      <c r="Q20" s="338"/>
      <c r="R20" s="338"/>
      <c r="S20" s="338"/>
      <c r="T20" s="370"/>
      <c r="U20" s="3"/>
      <c r="V20" s="376" t="s">
        <v>503</v>
      </c>
      <c r="W20" s="377">
        <v>4677</v>
      </c>
      <c r="X20" s="377">
        <v>2316</v>
      </c>
      <c r="Y20" s="377">
        <v>30</v>
      </c>
      <c r="Z20" s="377">
        <v>4</v>
      </c>
      <c r="AA20" s="377">
        <v>803</v>
      </c>
      <c r="AB20" s="377">
        <v>669</v>
      </c>
      <c r="AC20" s="377">
        <v>0</v>
      </c>
      <c r="AD20" s="381">
        <f t="shared" ref="AD20:AD26" si="2">SUM(W20:AC20)</f>
        <v>8499</v>
      </c>
      <c r="AE20" s="3"/>
      <c r="AF20" s="3"/>
    </row>
    <row r="21" spans="1:32" x14ac:dyDescent="0.45">
      <c r="A21" s="3"/>
      <c r="B21" s="132" t="s">
        <v>384</v>
      </c>
      <c r="C21" s="382">
        <v>60.2</v>
      </c>
      <c r="D21" s="132"/>
      <c r="E21" s="132"/>
      <c r="F21" s="379" t="s">
        <v>432</v>
      </c>
      <c r="G21" s="132"/>
      <c r="H21" s="132"/>
      <c r="I21" s="332" t="s">
        <v>473</v>
      </c>
      <c r="J21" s="13"/>
      <c r="K21" s="339"/>
      <c r="L21" s="395" t="s">
        <v>389</v>
      </c>
      <c r="M21" s="395" t="s">
        <v>393</v>
      </c>
      <c r="N21" s="395" t="s">
        <v>369</v>
      </c>
      <c r="O21" s="396" t="s">
        <v>502</v>
      </c>
      <c r="P21" s="395" t="s">
        <v>392</v>
      </c>
      <c r="Q21" s="3"/>
      <c r="R21" s="3"/>
      <c r="S21" s="3"/>
      <c r="T21" s="375"/>
      <c r="U21" s="3"/>
      <c r="V21" s="376" t="s">
        <v>504</v>
      </c>
      <c r="W21" s="377">
        <v>234</v>
      </c>
      <c r="X21" s="377">
        <v>142</v>
      </c>
      <c r="Y21" s="377">
        <v>204</v>
      </c>
      <c r="Z21" s="377">
        <v>1151</v>
      </c>
      <c r="AA21" s="377">
        <v>432</v>
      </c>
      <c r="AB21" s="377">
        <v>12</v>
      </c>
      <c r="AC21" s="377">
        <v>0</v>
      </c>
      <c r="AD21" s="381">
        <f t="shared" si="2"/>
        <v>2175</v>
      </c>
      <c r="AE21" s="3"/>
      <c r="AF21" s="3"/>
    </row>
    <row r="22" spans="1:32" x14ac:dyDescent="0.45">
      <c r="A22" s="3"/>
      <c r="B22" s="132"/>
      <c r="C22" s="132"/>
      <c r="D22" s="132"/>
      <c r="E22" s="132"/>
      <c r="F22" s="132"/>
      <c r="G22" s="132"/>
      <c r="H22" s="132"/>
      <c r="I22" s="332"/>
      <c r="J22" s="13"/>
      <c r="K22" s="339" t="s">
        <v>469</v>
      </c>
      <c r="L22" s="397">
        <f>L23</f>
        <v>0.93497497279651798</v>
      </c>
      <c r="M22" s="397">
        <f t="shared" ref="M22:P22" si="3">M23</f>
        <v>0</v>
      </c>
      <c r="N22" s="397">
        <f t="shared" si="3"/>
        <v>0.51919648397104445</v>
      </c>
      <c r="O22" s="397">
        <f t="shared" si="3"/>
        <v>0.89600000000000002</v>
      </c>
      <c r="P22" s="397">
        <f t="shared" si="3"/>
        <v>0</v>
      </c>
      <c r="Q22" s="3"/>
      <c r="R22" s="3"/>
      <c r="S22" s="3"/>
      <c r="T22" s="375"/>
      <c r="U22" s="3"/>
      <c r="V22" s="376" t="s">
        <v>505</v>
      </c>
      <c r="W22" s="377">
        <v>166</v>
      </c>
      <c r="X22" s="377">
        <v>5</v>
      </c>
      <c r="Y22" s="377">
        <v>33</v>
      </c>
      <c r="Z22" s="377">
        <v>20</v>
      </c>
      <c r="AA22" s="377">
        <v>113</v>
      </c>
      <c r="AB22" s="377">
        <v>429</v>
      </c>
      <c r="AC22" s="377">
        <v>1</v>
      </c>
      <c r="AD22" s="381">
        <f t="shared" si="2"/>
        <v>767</v>
      </c>
      <c r="AE22" s="3"/>
      <c r="AF22" s="3"/>
    </row>
    <row r="23" spans="1:32" x14ac:dyDescent="0.45">
      <c r="A23" s="3"/>
      <c r="B23" s="334" t="s">
        <v>170</v>
      </c>
      <c r="C23" s="334" t="s">
        <v>481</v>
      </c>
      <c r="D23" s="132"/>
      <c r="E23" s="132"/>
      <c r="F23" s="132"/>
      <c r="G23" s="132"/>
      <c r="H23" s="132"/>
      <c r="I23" s="333"/>
      <c r="J23" s="13"/>
      <c r="K23" s="139" t="s">
        <v>474</v>
      </c>
      <c r="L23" s="397">
        <f>((N53*O53)+(N62*O62)+(N63*O63)+(N64*O64)+(N65*O65)+(N73*O73)+(N74*O74))/(O53+O62+O63+O64+O65+O73+O74)</f>
        <v>0.93497497279651798</v>
      </c>
      <c r="M23" s="397">
        <v>0</v>
      </c>
      <c r="N23" s="397">
        <f>((N56*O56)+(N67*O67)+(N68*O68)+(N72*O72))/(O56+O67+O68+O72)</f>
        <v>0.51919648397104445</v>
      </c>
      <c r="O23" s="340">
        <f>((N61*O61))/O61</f>
        <v>0.89600000000000002</v>
      </c>
      <c r="P23" s="397">
        <v>0</v>
      </c>
      <c r="Q23" s="3"/>
      <c r="R23" s="3"/>
      <c r="S23" s="3"/>
      <c r="T23" s="375"/>
      <c r="U23" s="3"/>
      <c r="V23" s="376" t="s">
        <v>506</v>
      </c>
      <c r="W23" s="377">
        <v>328</v>
      </c>
      <c r="X23" s="377">
        <v>8</v>
      </c>
      <c r="Y23" s="377">
        <v>141</v>
      </c>
      <c r="Z23" s="377">
        <v>130</v>
      </c>
      <c r="AA23" s="377">
        <v>152</v>
      </c>
      <c r="AB23" s="377">
        <v>256</v>
      </c>
      <c r="AC23" s="377">
        <v>6</v>
      </c>
      <c r="AD23" s="381">
        <f t="shared" si="2"/>
        <v>1021</v>
      </c>
      <c r="AE23" s="3"/>
      <c r="AF23" s="3"/>
    </row>
    <row r="24" spans="1:32" x14ac:dyDescent="0.45">
      <c r="A24" s="3"/>
      <c r="B24" s="132"/>
      <c r="C24" s="132" t="s">
        <v>483</v>
      </c>
      <c r="D24" s="132"/>
      <c r="E24" s="132"/>
      <c r="F24" s="132" t="s">
        <v>484</v>
      </c>
      <c r="G24" s="132"/>
      <c r="H24" s="132"/>
      <c r="I24" s="326"/>
      <c r="J24" s="13"/>
      <c r="K24" s="139" t="s">
        <v>390</v>
      </c>
      <c r="L24" s="397">
        <v>0</v>
      </c>
      <c r="M24" s="397">
        <v>0</v>
      </c>
      <c r="N24" s="397">
        <f>((N127*O127)+(N128*O128)+(N142*O142)+(N143*O143))/(O127+O128+O142+O143)</f>
        <v>0.55760517799352749</v>
      </c>
      <c r="O24" s="340">
        <v>0</v>
      </c>
      <c r="P24" s="397">
        <v>0</v>
      </c>
      <c r="Q24" s="3"/>
      <c r="R24" s="3"/>
      <c r="S24" s="3"/>
      <c r="T24" s="375"/>
      <c r="U24" s="3"/>
      <c r="V24" s="376" t="s">
        <v>507</v>
      </c>
      <c r="W24" s="377">
        <v>3</v>
      </c>
      <c r="X24" s="377">
        <v>0</v>
      </c>
      <c r="Y24" s="377">
        <v>0</v>
      </c>
      <c r="Z24" s="377">
        <v>0</v>
      </c>
      <c r="AA24" s="377">
        <v>0</v>
      </c>
      <c r="AB24" s="377">
        <v>0</v>
      </c>
      <c r="AC24" s="377">
        <v>0</v>
      </c>
      <c r="AD24" s="381">
        <f t="shared" si="2"/>
        <v>3</v>
      </c>
      <c r="AE24" s="3"/>
      <c r="AF24" s="3"/>
    </row>
    <row r="25" spans="1:32" x14ac:dyDescent="0.45">
      <c r="A25" s="3"/>
      <c r="B25" s="132"/>
      <c r="C25" s="132" t="s">
        <v>486</v>
      </c>
      <c r="D25" s="132"/>
      <c r="E25" s="132"/>
      <c r="F25" s="132" t="s">
        <v>487</v>
      </c>
      <c r="G25" s="132"/>
      <c r="H25" s="132"/>
      <c r="I25" s="332" t="s">
        <v>488</v>
      </c>
      <c r="J25" s="13"/>
      <c r="K25" s="139" t="s">
        <v>177</v>
      </c>
      <c r="L25" s="397">
        <f>((N175*O175)+(N180*O180)+(N193*O193)+(N194*O194)+(N195*O195)+(N211*O211))/(O175+O180+O193+O194+O195+O211)</f>
        <v>0.98488692390139332</v>
      </c>
      <c r="M25" s="397">
        <v>0</v>
      </c>
      <c r="N25" s="397">
        <f>((N172*O172)+(N173*O173)+(N174*O174)+(N176*O176)+(N178*O178)+(N186*O186)+(N187*O187)+(N188*O188)+(N189*O189)+(N190*O190)+(N192*O192)+(N197*O197)+(N199*O199)+(N200*O200)+(N201*O201)+(N202*O202)+(N203*O203)+(N204*O204)+(N205*O205)+(N207*O207)+(N210*O210)+(N212*O212))/(O172+O173+O174+O176+O178+O186+O187+O188+O189+O190+O191+O192+O197+O199+O200+O201+O202+O203+O204+O205+O207+O210+O212)</f>
        <v>0.53947935779816514</v>
      </c>
      <c r="O25" s="340">
        <f>((N182*O182)+(N185*O185)+(N191*O191)+(N198*O198)+(N206*O206)+(N208*O208))/(O182+O185+O191+O198+O206+O208)</f>
        <v>0.75091263940520447</v>
      </c>
      <c r="P25" s="397">
        <v>0</v>
      </c>
      <c r="Q25" s="3"/>
      <c r="R25" s="3"/>
      <c r="S25" s="3"/>
      <c r="T25" s="375"/>
      <c r="U25" s="3"/>
      <c r="V25" s="376" t="s">
        <v>508</v>
      </c>
      <c r="W25" s="377">
        <v>0</v>
      </c>
      <c r="X25" s="377">
        <v>0</v>
      </c>
      <c r="Y25" s="377">
        <v>0</v>
      </c>
      <c r="Z25" s="377">
        <v>0</v>
      </c>
      <c r="AA25" s="377">
        <v>0</v>
      </c>
      <c r="AB25" s="377">
        <v>0.1</v>
      </c>
      <c r="AC25" s="377">
        <v>0</v>
      </c>
      <c r="AD25" s="381">
        <f t="shared" si="2"/>
        <v>0.1</v>
      </c>
      <c r="AE25" s="3"/>
      <c r="AF25" s="3"/>
    </row>
    <row r="26" spans="1:32" x14ac:dyDescent="0.45">
      <c r="A26" s="3"/>
      <c r="B26" s="132"/>
      <c r="C26" s="132" t="s">
        <v>490</v>
      </c>
      <c r="D26" s="132"/>
      <c r="E26" s="132"/>
      <c r="F26" s="132" t="s">
        <v>491</v>
      </c>
      <c r="G26" s="132"/>
      <c r="H26" s="132"/>
      <c r="I26" s="326"/>
      <c r="J26" s="13"/>
      <c r="K26" s="139" t="s">
        <v>53</v>
      </c>
      <c r="L26" s="397">
        <v>0</v>
      </c>
      <c r="M26" s="397">
        <f>((N114*O114)+(N117*O117))/(O114+O117)</f>
        <v>1.1080762155059132</v>
      </c>
      <c r="N26" s="397">
        <f>((N105*O105)+(N106*O106)+(N109*O109)+(N112*O112)+(N115*O115)+(N116*O116)+(N119*O119)+(N123*O123)+(N124*O124))/(O105+O106+O109+O112+O115+O116+O119+O123+O124)</f>
        <v>0.58724116114625979</v>
      </c>
      <c r="O26" s="340">
        <f>((N102*O102)+(N118*O118)+(N122*O122))/(O102+O118+O122)</f>
        <v>0.94</v>
      </c>
      <c r="P26" s="397">
        <v>0</v>
      </c>
      <c r="Q26" s="3"/>
      <c r="R26" s="3"/>
      <c r="S26" s="3"/>
      <c r="T26" s="375"/>
      <c r="U26" s="3"/>
      <c r="V26" s="376" t="s">
        <v>509</v>
      </c>
      <c r="W26" s="377">
        <v>0</v>
      </c>
      <c r="X26" s="377">
        <v>0</v>
      </c>
      <c r="Y26" s="377">
        <v>0.1</v>
      </c>
      <c r="Z26" s="377">
        <v>0</v>
      </c>
      <c r="AA26" s="377">
        <v>0.2</v>
      </c>
      <c r="AB26" s="377">
        <v>0</v>
      </c>
      <c r="AC26" s="377">
        <v>0</v>
      </c>
      <c r="AD26" s="381">
        <f t="shared" si="2"/>
        <v>0.30000000000000004</v>
      </c>
      <c r="AE26" s="3"/>
      <c r="AF26" s="3"/>
    </row>
    <row r="27" spans="1:32" ht="18" customHeight="1" x14ac:dyDescent="0.45">
      <c r="A27" s="3"/>
      <c r="B27" s="132"/>
      <c r="C27" s="132" t="s">
        <v>494</v>
      </c>
      <c r="D27" s="132"/>
      <c r="E27" s="132"/>
      <c r="F27" s="132" t="s">
        <v>495</v>
      </c>
      <c r="G27" s="132"/>
      <c r="H27" s="132"/>
      <c r="I27" s="326"/>
      <c r="J27" s="13"/>
      <c r="K27" s="139" t="s">
        <v>391</v>
      </c>
      <c r="L27" s="397">
        <v>0</v>
      </c>
      <c r="M27" s="397">
        <f>((N148*O148)+(N152*O152)+(N153*O153)+(N158*O158)+(N159*O159)+(N170*O170))/(O148+O152+O153+O158+O159+O170)</f>
        <v>1.3451901522992755</v>
      </c>
      <c r="N27" s="397">
        <f>((N149*O149)+(N155*O155)+(N156*O156)+(N157*O157)+(N162*O162)+(N165*O165)+(N167*O167)+(N168*O168))/(O149+O155+O156+O157+O162+O165+O167+O168)</f>
        <v>0.65778367177786989</v>
      </c>
      <c r="O27" s="340">
        <v>0</v>
      </c>
      <c r="P27" s="397">
        <v>0</v>
      </c>
      <c r="Q27" s="3"/>
      <c r="R27" s="3"/>
      <c r="S27" s="3"/>
      <c r="T27" s="375"/>
      <c r="U27" s="3"/>
      <c r="V27" s="376" t="s">
        <v>510</v>
      </c>
      <c r="W27" s="377">
        <f t="shared" ref="W27:AB27" si="4">SUM(W20:W26)</f>
        <v>5408</v>
      </c>
      <c r="X27" s="377">
        <f t="shared" si="4"/>
        <v>2471</v>
      </c>
      <c r="Y27" s="377">
        <f t="shared" si="4"/>
        <v>408.1</v>
      </c>
      <c r="Z27" s="377">
        <f t="shared" si="4"/>
        <v>1305</v>
      </c>
      <c r="AA27" s="377">
        <f t="shared" si="4"/>
        <v>1500.2</v>
      </c>
      <c r="AB27" s="377">
        <f t="shared" si="4"/>
        <v>1366.1</v>
      </c>
      <c r="AC27" s="377">
        <f t="shared" ref="AC27:AD27" si="5">SUM(AC20:AC26)</f>
        <v>7</v>
      </c>
      <c r="AD27" s="381">
        <f t="shared" si="5"/>
        <v>12465.4</v>
      </c>
      <c r="AE27" s="3"/>
      <c r="AF27" s="3"/>
    </row>
    <row r="28" spans="1:32" ht="18.600000000000001" customHeight="1" x14ac:dyDescent="0.45">
      <c r="A28" s="398"/>
      <c r="B28" s="132"/>
      <c r="C28" s="132"/>
      <c r="D28" s="132"/>
      <c r="E28" s="132"/>
      <c r="F28" s="132"/>
      <c r="G28" s="132"/>
      <c r="H28" s="132"/>
      <c r="I28" s="326"/>
      <c r="J28" s="13"/>
      <c r="K28" s="139" t="s">
        <v>470</v>
      </c>
      <c r="L28" s="397">
        <f>((N80*O80)+(N81*O81)+(N82*O82)+(N85*O85)+(N87*O87)+(N89*O89)+(N93*O93)+(N94*O94)+(N96*O96)+(N97*O97))/(O80+O81+O82+O85+O87+O89+O93+O94+O96+O97)</f>
        <v>0.92733371454711799</v>
      </c>
      <c r="M28" s="397">
        <v>0</v>
      </c>
      <c r="N28" s="397">
        <f>((N76*O76)+(N78*O78)+(N79*O79)+(N83*O83)+(N84*O84)+(N91*O91)+(N92*O92)+(N95*O95)+(N98*O98)+(N101*O101))/(O76+O78+O79+O83+O84+O91+O92+O95+O98+O101)</f>
        <v>0.50054060482500851</v>
      </c>
      <c r="O28" s="340">
        <f>((N88*O88)+(N90*O90))/(O88+O90)</f>
        <v>0.8405132743362832</v>
      </c>
      <c r="P28" s="397">
        <v>0</v>
      </c>
      <c r="Q28" s="3"/>
      <c r="R28" s="3"/>
      <c r="S28" s="3"/>
      <c r="T28" s="375"/>
      <c r="U28" s="3"/>
      <c r="V28" s="376"/>
      <c r="W28" s="377"/>
      <c r="X28" s="377"/>
      <c r="Y28" s="377"/>
      <c r="Z28" s="377"/>
      <c r="AA28" s="377"/>
      <c r="AB28" s="377"/>
      <c r="AC28" s="377"/>
      <c r="AD28" s="381"/>
      <c r="AE28" s="3"/>
      <c r="AF28" s="3"/>
    </row>
    <row r="29" spans="1:32" ht="18.600000000000001" customHeight="1" x14ac:dyDescent="0.45">
      <c r="A29" s="398"/>
      <c r="B29" s="334" t="s">
        <v>387</v>
      </c>
      <c r="C29" s="355">
        <f>(C19*C20*C21)*10^-3</f>
        <v>0.97339860239999976</v>
      </c>
      <c r="D29" s="132"/>
      <c r="E29" s="132"/>
      <c r="F29" s="334" t="s">
        <v>382</v>
      </c>
      <c r="G29" s="132"/>
      <c r="H29" s="132"/>
      <c r="I29" s="326"/>
      <c r="J29" s="13"/>
      <c r="K29" s="139" t="s">
        <v>54</v>
      </c>
      <c r="L29" s="397">
        <v>0</v>
      </c>
      <c r="M29" s="397">
        <v>0</v>
      </c>
      <c r="N29" s="397">
        <f>((N222*O222)+(N223*O223)+(N224*O224)+(N225*O225)+(N226*O226)+(N227*O227)+(N228*O228)+(N229*O229))/(O222+O223+O224+O225+O226+O227+O228+O229)</f>
        <v>0.52879687500000006</v>
      </c>
      <c r="O29" s="340">
        <f>N221</f>
        <v>1.0189999999999999</v>
      </c>
      <c r="P29" s="397">
        <v>0</v>
      </c>
      <c r="Q29" s="3"/>
      <c r="R29" s="3"/>
      <c r="S29" s="3"/>
      <c r="T29" s="375"/>
      <c r="U29" s="3"/>
      <c r="V29" s="399" t="s">
        <v>511</v>
      </c>
      <c r="W29" s="377" t="s">
        <v>52</v>
      </c>
      <c r="X29" s="377" t="s">
        <v>390</v>
      </c>
      <c r="Y29" s="377" t="s">
        <v>177</v>
      </c>
      <c r="Z29" s="377" t="s">
        <v>53</v>
      </c>
      <c r="AA29" s="377" t="s">
        <v>391</v>
      </c>
      <c r="AB29" s="377" t="s">
        <v>470</v>
      </c>
      <c r="AC29" s="377" t="s">
        <v>471</v>
      </c>
      <c r="AD29" s="378" t="s">
        <v>36</v>
      </c>
      <c r="AE29" s="3"/>
      <c r="AF29" s="3"/>
    </row>
    <row r="30" spans="1:32" ht="18.600000000000001" customHeight="1" x14ac:dyDescent="0.45">
      <c r="A30" s="398"/>
      <c r="B30" s="132"/>
      <c r="C30" s="345"/>
      <c r="D30" s="132"/>
      <c r="E30" s="132"/>
      <c r="F30" s="132"/>
      <c r="G30" s="132"/>
      <c r="H30" s="132"/>
      <c r="I30" s="326"/>
      <c r="J30" s="13"/>
      <c r="K30" s="139" t="s">
        <v>751</v>
      </c>
      <c r="L30" s="397">
        <v>0</v>
      </c>
      <c r="M30" s="397">
        <v>0</v>
      </c>
      <c r="N30" s="397">
        <f>((N213*O213)+(N214*O214)+(N215*O215)+(N216*O216)+(N217*O217)+(N218*O218)+(N220*O220))/(O213+O214+O215+O216+O217+O218+O220)</f>
        <v>0.50357318224740322</v>
      </c>
      <c r="O30" s="340">
        <f>N219</f>
        <v>0.84299999999999997</v>
      </c>
      <c r="P30" s="397">
        <v>0</v>
      </c>
      <c r="Q30" s="3"/>
      <c r="R30" s="3"/>
      <c r="S30" s="3"/>
      <c r="T30" s="375"/>
      <c r="U30" s="3"/>
      <c r="V30" s="376" t="s">
        <v>389</v>
      </c>
      <c r="W30" s="377">
        <f t="shared" ref="W30:AD31" si="6">W5</f>
        <v>11797</v>
      </c>
      <c r="X30" s="377">
        <f t="shared" si="6"/>
        <v>0</v>
      </c>
      <c r="Y30" s="377">
        <f t="shared" si="6"/>
        <v>1745</v>
      </c>
      <c r="Z30" s="377">
        <f t="shared" si="6"/>
        <v>0</v>
      </c>
      <c r="AA30" s="377">
        <f t="shared" si="6"/>
        <v>0</v>
      </c>
      <c r="AB30" s="377">
        <f t="shared" si="6"/>
        <v>8805</v>
      </c>
      <c r="AC30" s="377">
        <f t="shared" si="6"/>
        <v>0</v>
      </c>
      <c r="AD30" s="381">
        <f t="shared" si="6"/>
        <v>22347</v>
      </c>
      <c r="AE30" s="3"/>
      <c r="AF30" s="3"/>
    </row>
    <row r="31" spans="1:32" ht="18.600000000000001" customHeight="1" x14ac:dyDescent="0.45">
      <c r="A31" s="398"/>
      <c r="B31" s="392" t="s">
        <v>388</v>
      </c>
      <c r="C31" s="345"/>
      <c r="D31" s="132"/>
      <c r="E31" s="132"/>
      <c r="F31" s="132"/>
      <c r="G31" s="132"/>
      <c r="H31" s="132"/>
      <c r="I31" s="326"/>
      <c r="J31" s="13"/>
      <c r="K31" s="139" t="s">
        <v>752</v>
      </c>
      <c r="L31" s="397">
        <f>L30</f>
        <v>0</v>
      </c>
      <c r="M31" s="397">
        <f t="shared" ref="M31:P31" si="7">M30</f>
        <v>0</v>
      </c>
      <c r="N31" s="397">
        <f t="shared" si="7"/>
        <v>0.50357318224740322</v>
      </c>
      <c r="O31" s="397">
        <f t="shared" si="7"/>
        <v>0.84299999999999997</v>
      </c>
      <c r="P31" s="397">
        <f t="shared" si="7"/>
        <v>0</v>
      </c>
      <c r="Q31" s="3"/>
      <c r="R31" s="3"/>
      <c r="S31" s="3"/>
      <c r="T31" s="375"/>
      <c r="U31" s="3"/>
      <c r="V31" s="376" t="s">
        <v>393</v>
      </c>
      <c r="W31" s="377">
        <f t="shared" si="6"/>
        <v>0</v>
      </c>
      <c r="X31" s="377">
        <f t="shared" si="6"/>
        <v>0</v>
      </c>
      <c r="Y31" s="377">
        <f t="shared" si="6"/>
        <v>0</v>
      </c>
      <c r="Z31" s="377">
        <f t="shared" si="6"/>
        <v>780</v>
      </c>
      <c r="AA31" s="377">
        <f t="shared" si="6"/>
        <v>6555</v>
      </c>
      <c r="AB31" s="377">
        <f t="shared" si="6"/>
        <v>0</v>
      </c>
      <c r="AC31" s="377">
        <f t="shared" si="6"/>
        <v>0</v>
      </c>
      <c r="AD31" s="381">
        <f t="shared" si="6"/>
        <v>7335</v>
      </c>
      <c r="AE31" s="3"/>
      <c r="AF31" s="3"/>
    </row>
    <row r="32" spans="1:32" ht="18.600000000000001" customHeight="1" x14ac:dyDescent="0.45">
      <c r="A32" s="3"/>
      <c r="B32" s="334" t="s">
        <v>56</v>
      </c>
      <c r="C32" s="345"/>
      <c r="D32" s="132"/>
      <c r="E32" s="132"/>
      <c r="F32" s="334" t="s">
        <v>55</v>
      </c>
      <c r="G32" s="132"/>
      <c r="H32" s="132"/>
      <c r="I32" s="326"/>
      <c r="J32" s="13"/>
      <c r="K32" s="139" t="s">
        <v>512</v>
      </c>
      <c r="L32" s="397"/>
      <c r="M32" s="397"/>
      <c r="N32" s="397"/>
      <c r="O32" s="3"/>
      <c r="P32" s="397"/>
      <c r="Q32" s="3"/>
      <c r="R32" s="3"/>
      <c r="S32" s="3"/>
      <c r="T32" s="375"/>
      <c r="U32" s="3"/>
      <c r="V32" s="376" t="s">
        <v>369</v>
      </c>
      <c r="W32" s="377">
        <f>SUM(W7,W10,W11,W14,W15)</f>
        <v>1983</v>
      </c>
      <c r="X32" s="377">
        <f t="shared" ref="X32:AD32" si="8">SUM(X7,X10,X11,X14,X15)</f>
        <v>491</v>
      </c>
      <c r="Y32" s="377">
        <f t="shared" si="8"/>
        <v>2719</v>
      </c>
      <c r="Z32" s="377">
        <f t="shared" si="8"/>
        <v>2676</v>
      </c>
      <c r="AA32" s="377">
        <f t="shared" si="8"/>
        <v>1831</v>
      </c>
      <c r="AB32" s="377">
        <f t="shared" si="8"/>
        <v>3168</v>
      </c>
      <c r="AC32" s="377">
        <f t="shared" si="8"/>
        <v>453</v>
      </c>
      <c r="AD32" s="381">
        <f t="shared" si="8"/>
        <v>13321</v>
      </c>
      <c r="AE32" s="3"/>
      <c r="AF32" s="3"/>
    </row>
    <row r="33" spans="1:32" ht="16.7" customHeight="1" x14ac:dyDescent="0.45">
      <c r="A33" s="3"/>
      <c r="B33" s="132" t="s">
        <v>396</v>
      </c>
      <c r="C33" s="345">
        <f>'Data input'!D96</f>
        <v>163097</v>
      </c>
      <c r="D33" s="132"/>
      <c r="E33" s="132"/>
      <c r="F33" s="132" t="s">
        <v>169</v>
      </c>
      <c r="G33" s="132"/>
      <c r="H33" s="132"/>
      <c r="I33" s="326"/>
      <c r="J33" s="13"/>
      <c r="K33" s="339"/>
      <c r="L33" s="3"/>
      <c r="M33" s="3"/>
      <c r="N33" s="3"/>
      <c r="O33" s="3"/>
      <c r="P33" s="3"/>
      <c r="Q33" s="3"/>
      <c r="R33" s="3"/>
      <c r="S33" s="3"/>
      <c r="T33" s="375"/>
      <c r="U33" s="3"/>
      <c r="V33" s="400" t="s">
        <v>502</v>
      </c>
      <c r="W33" s="377">
        <f>W12</f>
        <v>50</v>
      </c>
      <c r="X33" s="377">
        <f t="shared" ref="X33:AD33" si="9">X12</f>
        <v>0</v>
      </c>
      <c r="Y33" s="377">
        <f t="shared" si="9"/>
        <v>83</v>
      </c>
      <c r="Z33" s="377">
        <f t="shared" si="9"/>
        <v>113</v>
      </c>
      <c r="AA33" s="377">
        <f t="shared" si="9"/>
        <v>0</v>
      </c>
      <c r="AB33" s="377">
        <f t="shared" si="9"/>
        <v>457</v>
      </c>
      <c r="AC33" s="377">
        <f t="shared" si="9"/>
        <v>30</v>
      </c>
      <c r="AD33" s="381">
        <f t="shared" si="9"/>
        <v>733</v>
      </c>
      <c r="AE33" s="3"/>
      <c r="AF33" s="3"/>
    </row>
    <row r="34" spans="1:32" ht="18" customHeight="1" x14ac:dyDescent="0.45">
      <c r="A34" s="3"/>
      <c r="B34" s="132" t="s">
        <v>399</v>
      </c>
      <c r="C34" s="345">
        <f>C33/10^3</f>
        <v>163.09700000000001</v>
      </c>
      <c r="D34" s="132"/>
      <c r="E34" s="132"/>
      <c r="F34" s="132" t="s">
        <v>400</v>
      </c>
      <c r="G34" s="132"/>
      <c r="H34" s="132"/>
      <c r="I34" s="335"/>
      <c r="J34" s="13"/>
      <c r="K34" s="339" t="s">
        <v>513</v>
      </c>
      <c r="L34" s="3"/>
      <c r="M34" s="3"/>
      <c r="N34" s="3"/>
      <c r="O34" s="3"/>
      <c r="P34" s="3"/>
      <c r="Q34" s="3"/>
      <c r="R34" s="3"/>
      <c r="S34" s="3"/>
      <c r="T34" s="375"/>
      <c r="U34" s="3"/>
      <c r="V34" s="376" t="s">
        <v>392</v>
      </c>
      <c r="W34" s="377">
        <f t="shared" ref="W34:AD34" si="10">W27</f>
        <v>5408</v>
      </c>
      <c r="X34" s="377">
        <f t="shared" si="10"/>
        <v>2471</v>
      </c>
      <c r="Y34" s="377">
        <f t="shared" si="10"/>
        <v>408.1</v>
      </c>
      <c r="Z34" s="377">
        <f t="shared" si="10"/>
        <v>1305</v>
      </c>
      <c r="AA34" s="377">
        <f t="shared" si="10"/>
        <v>1500.2</v>
      </c>
      <c r="AB34" s="377">
        <f t="shared" si="10"/>
        <v>1366.1</v>
      </c>
      <c r="AC34" s="377">
        <f t="shared" si="10"/>
        <v>7</v>
      </c>
      <c r="AD34" s="381">
        <f t="shared" si="10"/>
        <v>12465.4</v>
      </c>
      <c r="AE34" s="3"/>
      <c r="AF34" s="3"/>
    </row>
    <row r="35" spans="1:32" ht="18.95" customHeight="1" x14ac:dyDescent="0.45">
      <c r="A35" s="3"/>
      <c r="B35" s="132" t="s">
        <v>272</v>
      </c>
      <c r="C35" s="345">
        <f>'Data input'!E3</f>
        <v>3</v>
      </c>
      <c r="D35" s="132" t="str">
        <f>L14</f>
        <v>Tas</v>
      </c>
      <c r="E35" s="132"/>
      <c r="F35" s="132" t="s">
        <v>401</v>
      </c>
      <c r="G35" s="132"/>
      <c r="H35" s="132"/>
      <c r="I35" s="326"/>
      <c r="J35" s="13"/>
      <c r="K35" s="339"/>
      <c r="L35" s="3" t="s">
        <v>389</v>
      </c>
      <c r="M35" s="3" t="s">
        <v>393</v>
      </c>
      <c r="N35" s="3" t="s">
        <v>369</v>
      </c>
      <c r="O35" s="396" t="s">
        <v>502</v>
      </c>
      <c r="P35" s="396" t="s">
        <v>392</v>
      </c>
      <c r="Q35" s="3"/>
      <c r="R35" s="3"/>
      <c r="S35" s="3"/>
      <c r="T35" s="375"/>
      <c r="U35" s="3"/>
      <c r="V35" s="401" t="s">
        <v>36</v>
      </c>
      <c r="W35" s="402">
        <f t="shared" ref="W35:AD35" si="11">SUM(W30:W34)</f>
        <v>19238</v>
      </c>
      <c r="X35" s="402">
        <f t="shared" si="11"/>
        <v>2962</v>
      </c>
      <c r="Y35" s="402">
        <f t="shared" si="11"/>
        <v>4955.1000000000004</v>
      </c>
      <c r="Z35" s="402">
        <f t="shared" si="11"/>
        <v>4874</v>
      </c>
      <c r="AA35" s="402">
        <f t="shared" si="11"/>
        <v>9886.2000000000007</v>
      </c>
      <c r="AB35" s="402">
        <f t="shared" si="11"/>
        <v>13796.1</v>
      </c>
      <c r="AC35" s="402">
        <f t="shared" si="11"/>
        <v>490</v>
      </c>
      <c r="AD35" s="403">
        <f t="shared" si="11"/>
        <v>56201.4</v>
      </c>
      <c r="AE35" s="3"/>
      <c r="AF35" s="3"/>
    </row>
    <row r="36" spans="1:32" ht="15.95" customHeight="1" x14ac:dyDescent="0.45">
      <c r="A36" s="3"/>
      <c r="B36" s="132" t="s">
        <v>406</v>
      </c>
      <c r="C36" s="345">
        <f>'Data input'!D92</f>
        <v>1</v>
      </c>
      <c r="D36" s="132" t="str">
        <f>INDEX(L17:L18,MATCH(C36,K17:K18,0))</f>
        <v>State Grid</v>
      </c>
      <c r="E36" s="132"/>
      <c r="F36" s="132"/>
      <c r="G36" s="132"/>
      <c r="H36" s="132"/>
      <c r="I36" s="326"/>
      <c r="J36" s="13"/>
      <c r="K36" s="339" t="s">
        <v>469</v>
      </c>
      <c r="L36" s="340">
        <f>L37</f>
        <v>0.61321343174966214</v>
      </c>
      <c r="M36" s="340">
        <f t="shared" ref="M36:P36" si="12">M37</f>
        <v>0</v>
      </c>
      <c r="N36" s="340">
        <f t="shared" si="12"/>
        <v>0.1030772429566483</v>
      </c>
      <c r="O36" s="340">
        <f t="shared" si="12"/>
        <v>2.5990227674394426E-3</v>
      </c>
      <c r="P36" s="340">
        <f t="shared" si="12"/>
        <v>0.28111030252625013</v>
      </c>
      <c r="Q36" s="3"/>
      <c r="R36" s="3"/>
      <c r="S36" s="3"/>
      <c r="T36" s="375"/>
      <c r="U36" s="3"/>
      <c r="V36" s="376"/>
      <c r="W36" s="377"/>
      <c r="X36" s="377"/>
      <c r="Y36" s="377"/>
      <c r="Z36" s="377"/>
      <c r="AA36" s="377"/>
      <c r="AB36" s="377"/>
      <c r="AC36" s="377"/>
      <c r="AD36" s="378"/>
      <c r="AE36" s="3"/>
      <c r="AF36" s="3"/>
    </row>
    <row r="37" spans="1:32" x14ac:dyDescent="0.45">
      <c r="A37" s="3"/>
      <c r="B37" s="132" t="s">
        <v>514</v>
      </c>
      <c r="C37" s="345">
        <f>IF(C36=1,1,0)</f>
        <v>1</v>
      </c>
      <c r="D37" s="132"/>
      <c r="E37" s="132"/>
      <c r="F37" s="132"/>
      <c r="G37" s="132"/>
      <c r="H37" s="132"/>
      <c r="I37" s="326"/>
      <c r="J37" s="3"/>
      <c r="K37" s="139" t="s">
        <v>474</v>
      </c>
      <c r="L37" s="340">
        <f>W30/W35</f>
        <v>0.61321343174966214</v>
      </c>
      <c r="M37" s="340">
        <v>0</v>
      </c>
      <c r="N37" s="340">
        <f>W32/W35</f>
        <v>0.1030772429566483</v>
      </c>
      <c r="O37" s="340">
        <f>W33/W35</f>
        <v>2.5990227674394426E-3</v>
      </c>
      <c r="P37" s="340">
        <f>W34/W35</f>
        <v>0.28111030252625013</v>
      </c>
      <c r="Q37" s="3"/>
      <c r="R37" s="3"/>
      <c r="S37" s="3"/>
      <c r="T37" s="375"/>
      <c r="U37" s="3"/>
      <c r="V37" s="376"/>
      <c r="W37" s="377"/>
      <c r="X37" s="377"/>
      <c r="Y37" s="377"/>
      <c r="Z37" s="377"/>
      <c r="AA37" s="377"/>
      <c r="AB37" s="377"/>
      <c r="AC37" s="377"/>
      <c r="AD37" s="378"/>
      <c r="AE37" s="3"/>
      <c r="AF37" s="3"/>
    </row>
    <row r="38" spans="1:32" x14ac:dyDescent="0.45">
      <c r="A38" s="3"/>
      <c r="B38" s="132"/>
      <c r="C38" s="132"/>
      <c r="D38" s="132"/>
      <c r="E38" s="132"/>
      <c r="F38" s="132"/>
      <c r="G38" s="132"/>
      <c r="H38" s="132"/>
      <c r="I38" s="326"/>
      <c r="J38" s="3"/>
      <c r="K38" s="139" t="s">
        <v>390</v>
      </c>
      <c r="L38" s="340">
        <v>0</v>
      </c>
      <c r="M38" s="340">
        <v>0</v>
      </c>
      <c r="N38" s="340">
        <f>X32/X35</f>
        <v>0.16576637407157327</v>
      </c>
      <c r="O38" s="340">
        <v>0</v>
      </c>
      <c r="P38" s="340">
        <f>X34/X35</f>
        <v>0.83423362592842676</v>
      </c>
      <c r="Q38" s="3"/>
      <c r="R38" s="3"/>
      <c r="S38" s="3"/>
      <c r="T38" s="375"/>
      <c r="U38" s="3"/>
      <c r="V38" s="376"/>
      <c r="W38" s="377"/>
      <c r="X38" s="377"/>
      <c r="Y38" s="377"/>
      <c r="Z38" s="377"/>
      <c r="AA38" s="377"/>
      <c r="AB38" s="377"/>
      <c r="AC38" s="377"/>
      <c r="AD38" s="378"/>
      <c r="AE38" s="3"/>
      <c r="AF38" s="3"/>
    </row>
    <row r="39" spans="1:32" x14ac:dyDescent="0.45">
      <c r="A39" s="3"/>
      <c r="B39" s="132" t="s">
        <v>397</v>
      </c>
      <c r="C39" s="132"/>
      <c r="D39" s="132"/>
      <c r="E39" s="132"/>
      <c r="F39" s="132"/>
      <c r="G39" s="132"/>
      <c r="H39" s="132"/>
      <c r="I39" s="326"/>
      <c r="J39" s="3"/>
      <c r="K39" s="139" t="s">
        <v>177</v>
      </c>
      <c r="L39" s="340">
        <f>Y30/Y35</f>
        <v>0.35216241851829427</v>
      </c>
      <c r="M39" s="340">
        <v>0</v>
      </c>
      <c r="N39" s="340">
        <f>Y32/Y35</f>
        <v>0.54872757361102698</v>
      </c>
      <c r="O39" s="340">
        <f>Y33/Y35</f>
        <v>1.675041876046901E-2</v>
      </c>
      <c r="P39" s="340">
        <f>Y34/Y35</f>
        <v>8.2359589110209686E-2</v>
      </c>
      <c r="Q39" s="3"/>
      <c r="R39" s="3"/>
      <c r="S39" s="3"/>
      <c r="T39" s="375"/>
      <c r="U39" s="3"/>
      <c r="V39" s="376"/>
      <c r="W39" s="377"/>
      <c r="X39" s="377"/>
      <c r="Y39" s="377"/>
      <c r="Z39" s="377"/>
      <c r="AA39" s="377"/>
      <c r="AB39" s="377"/>
      <c r="AC39" s="377"/>
      <c r="AD39" s="378"/>
      <c r="AE39" s="3"/>
      <c r="AF39" s="3"/>
    </row>
    <row r="40" spans="1:32" x14ac:dyDescent="0.45">
      <c r="A40" s="3"/>
      <c r="B40" s="132" t="s">
        <v>398</v>
      </c>
      <c r="C40" s="379" t="s">
        <v>515</v>
      </c>
      <c r="D40" s="379" t="s">
        <v>516</v>
      </c>
      <c r="E40" s="132"/>
      <c r="F40" s="132"/>
      <c r="G40" s="132"/>
      <c r="H40" s="132"/>
      <c r="I40" s="326"/>
      <c r="J40" s="3"/>
      <c r="K40" s="139" t="s">
        <v>53</v>
      </c>
      <c r="L40" s="340">
        <v>0</v>
      </c>
      <c r="M40" s="340">
        <f>Z31/Z35</f>
        <v>0.16003282724661469</v>
      </c>
      <c r="N40" s="340">
        <f>Z32/Z35</f>
        <v>0.54903569963069343</v>
      </c>
      <c r="O40" s="340">
        <f>Z33/Z35</f>
        <v>2.3184242921624947E-2</v>
      </c>
      <c r="P40" s="340">
        <f>Z34/Z35</f>
        <v>0.26774723020106689</v>
      </c>
      <c r="Q40" s="3"/>
      <c r="R40" s="3"/>
      <c r="S40" s="3"/>
      <c r="T40" s="375"/>
      <c r="U40" s="3"/>
      <c r="V40" s="341" t="s">
        <v>517</v>
      </c>
      <c r="W40" s="404"/>
      <c r="X40" s="404"/>
      <c r="Y40" s="404"/>
      <c r="Z40" s="404"/>
      <c r="AA40" s="404"/>
      <c r="AB40" s="404"/>
      <c r="AC40" s="404"/>
      <c r="AD40" s="405"/>
      <c r="AE40" s="3"/>
      <c r="AF40" s="3"/>
    </row>
    <row r="41" spans="1:32" x14ac:dyDescent="0.45">
      <c r="A41" s="3"/>
      <c r="B41" s="132" t="s">
        <v>389</v>
      </c>
      <c r="C41" s="406">
        <f>INDEX(L22:L31,MATCH(D35,K22:K31,0))</f>
        <v>0</v>
      </c>
      <c r="D41" s="406">
        <f>INDEX(L36:L45,MATCH(D35,K36:K45,0))</f>
        <v>0</v>
      </c>
      <c r="E41" s="132"/>
      <c r="F41" s="132" t="s">
        <v>518</v>
      </c>
      <c r="G41" s="132"/>
      <c r="H41" s="132"/>
      <c r="I41" s="326"/>
      <c r="J41" s="3"/>
      <c r="K41" s="139" t="s">
        <v>391</v>
      </c>
      <c r="L41" s="340">
        <v>0</v>
      </c>
      <c r="M41" s="340">
        <f>AA31/AA35</f>
        <v>0.6630454573041209</v>
      </c>
      <c r="N41" s="340">
        <f>AA32/AA35</f>
        <v>0.18520766320729906</v>
      </c>
      <c r="O41" s="340">
        <v>0</v>
      </c>
      <c r="P41" s="340">
        <f>AA34/AA35</f>
        <v>0.15174687948858004</v>
      </c>
      <c r="Q41" s="3"/>
      <c r="R41" s="3"/>
      <c r="S41" s="3"/>
      <c r="T41" s="375"/>
      <c r="U41" s="3"/>
      <c r="V41" s="3"/>
      <c r="W41" s="3"/>
      <c r="X41" s="3"/>
      <c r="Y41" s="3"/>
      <c r="Z41" s="3"/>
      <c r="AA41" s="3"/>
      <c r="AB41" s="3"/>
      <c r="AC41" s="3"/>
      <c r="AD41" s="3"/>
      <c r="AE41" s="3"/>
      <c r="AF41" s="3"/>
    </row>
    <row r="42" spans="1:32" x14ac:dyDescent="0.45">
      <c r="A42" s="3"/>
      <c r="B42" s="132" t="s">
        <v>393</v>
      </c>
      <c r="C42" s="406">
        <f>INDEX(M22:M31,MATCH(D35,K22:K31,0))</f>
        <v>0</v>
      </c>
      <c r="D42" s="406">
        <f>INDEX(M36:M45,MATCH(D35,K36:K45,0))</f>
        <v>0</v>
      </c>
      <c r="E42" s="132"/>
      <c r="F42" s="132" t="s">
        <v>518</v>
      </c>
      <c r="G42" s="132"/>
      <c r="H42" s="132"/>
      <c r="I42" s="326"/>
      <c r="J42" s="3"/>
      <c r="K42" s="139" t="s">
        <v>470</v>
      </c>
      <c r="L42" s="340">
        <f>AB30/AB35</f>
        <v>0.63822384586948488</v>
      </c>
      <c r="M42" s="340">
        <v>0</v>
      </c>
      <c r="N42" s="340">
        <f>AB32/AB35</f>
        <v>0.2296301128579816</v>
      </c>
      <c r="O42" s="340">
        <f>AB33/AB35</f>
        <v>3.3125303527808583E-2</v>
      </c>
      <c r="P42" s="340">
        <f>AB34/AB35</f>
        <v>9.9020737744724946E-2</v>
      </c>
      <c r="Q42" s="3"/>
      <c r="R42" s="3"/>
      <c r="S42" s="3"/>
      <c r="T42" s="375"/>
      <c r="U42" s="3"/>
      <c r="V42" s="3"/>
      <c r="W42" s="3"/>
      <c r="X42" s="3"/>
      <c r="Y42" s="3"/>
      <c r="Z42" s="407"/>
      <c r="AA42" s="3"/>
      <c r="AB42" s="3"/>
      <c r="AC42" s="3"/>
      <c r="AD42" s="3"/>
      <c r="AE42" s="3"/>
      <c r="AF42" s="3"/>
    </row>
    <row r="43" spans="1:32" x14ac:dyDescent="0.45">
      <c r="A43" s="3"/>
      <c r="B43" s="132" t="s">
        <v>369</v>
      </c>
      <c r="C43" s="406">
        <f>INDEX(N22:N31,MATCH(D35,K22:K31,0))</f>
        <v>0.55760517799352749</v>
      </c>
      <c r="D43" s="406">
        <f>INDEX(N36:N45,MATCH(D35,K36:K45,0))</f>
        <v>0.16576637407157327</v>
      </c>
      <c r="E43" s="132"/>
      <c r="F43" s="132" t="s">
        <v>518</v>
      </c>
      <c r="G43" s="132"/>
      <c r="H43" s="132"/>
      <c r="I43" s="326"/>
      <c r="J43" s="3"/>
      <c r="K43" s="139" t="s">
        <v>54</v>
      </c>
      <c r="L43" s="340">
        <v>0</v>
      </c>
      <c r="M43" s="340">
        <v>0</v>
      </c>
      <c r="N43" s="340">
        <f>AC32/AC35</f>
        <v>0.92448979591836733</v>
      </c>
      <c r="O43" s="340">
        <f>AC33/AC35</f>
        <v>6.1224489795918366E-2</v>
      </c>
      <c r="P43" s="340">
        <f>AC34/AC35</f>
        <v>1.4285714285714285E-2</v>
      </c>
      <c r="Q43" s="3"/>
      <c r="R43" s="3"/>
      <c r="S43" s="3"/>
      <c r="T43" s="375"/>
      <c r="U43" s="3"/>
      <c r="V43" s="3"/>
      <c r="W43" s="3"/>
      <c r="X43" s="3"/>
      <c r="Y43" s="3"/>
      <c r="Z43" s="407"/>
      <c r="AA43" s="3"/>
      <c r="AB43" s="3"/>
      <c r="AC43" s="3"/>
      <c r="AD43" s="3"/>
      <c r="AE43" s="3"/>
      <c r="AF43" s="3"/>
    </row>
    <row r="44" spans="1:32" x14ac:dyDescent="0.45">
      <c r="A44" s="3"/>
      <c r="B44" s="132" t="s">
        <v>502</v>
      </c>
      <c r="C44" s="406">
        <f>INDEX(O22:O31,MATCH(D35,K22:K31,0))</f>
        <v>0</v>
      </c>
      <c r="D44" s="406">
        <f>INDEX(O36:O45,MATCH(D35,K36:K45,0))</f>
        <v>0</v>
      </c>
      <c r="E44" s="132"/>
      <c r="F44" s="132" t="s">
        <v>518</v>
      </c>
      <c r="G44" s="132"/>
      <c r="H44" s="132"/>
      <c r="I44" s="326"/>
      <c r="J44" s="3"/>
      <c r="K44" s="139" t="s">
        <v>751</v>
      </c>
      <c r="L44" s="340">
        <v>0</v>
      </c>
      <c r="M44" s="340">
        <v>0</v>
      </c>
      <c r="N44" s="340">
        <f>AC32/AC35</f>
        <v>0.92448979591836733</v>
      </c>
      <c r="O44" s="340">
        <f>AC33/AC35</f>
        <v>6.1224489795918366E-2</v>
      </c>
      <c r="P44" s="340">
        <f>AC34/AC35</f>
        <v>1.4285714285714285E-2</v>
      </c>
      <c r="Q44" s="3"/>
      <c r="R44" s="3"/>
      <c r="S44" s="3"/>
      <c r="T44" s="375"/>
      <c r="U44" s="3"/>
      <c r="V44" s="3"/>
      <c r="W44" s="3"/>
      <c r="X44" s="3"/>
      <c r="Y44" s="3"/>
      <c r="Z44" s="407"/>
      <c r="AA44" s="3"/>
      <c r="AB44" s="3"/>
      <c r="AC44" s="3"/>
      <c r="AD44" s="3"/>
      <c r="AE44" s="3"/>
      <c r="AF44" s="3"/>
    </row>
    <row r="45" spans="1:32" x14ac:dyDescent="0.45">
      <c r="A45" s="3"/>
      <c r="B45" s="132" t="s">
        <v>392</v>
      </c>
      <c r="C45" s="406">
        <f>INDEX(P22:P31,MATCH(D35,K22:K31,0))</f>
        <v>0</v>
      </c>
      <c r="D45" s="406">
        <f>INDEX(P36:P45,MATCH(D35,K36:K45,0))</f>
        <v>0.83423362592842676</v>
      </c>
      <c r="E45" s="132"/>
      <c r="F45" s="132" t="s">
        <v>518</v>
      </c>
      <c r="G45" s="132"/>
      <c r="H45" s="132"/>
      <c r="I45" s="326"/>
      <c r="J45" s="3"/>
      <c r="K45" s="139" t="s">
        <v>752</v>
      </c>
      <c r="L45" s="340">
        <f>L44</f>
        <v>0</v>
      </c>
      <c r="M45" s="340">
        <f t="shared" ref="M45:P45" si="13">M44</f>
        <v>0</v>
      </c>
      <c r="N45" s="340">
        <f t="shared" si="13"/>
        <v>0.92448979591836733</v>
      </c>
      <c r="O45" s="340">
        <f t="shared" si="13"/>
        <v>6.1224489795918366E-2</v>
      </c>
      <c r="P45" s="340">
        <f t="shared" si="13"/>
        <v>1.4285714285714285E-2</v>
      </c>
      <c r="Q45" s="3"/>
      <c r="R45" s="3"/>
      <c r="S45" s="3"/>
      <c r="T45" s="375"/>
      <c r="U45" s="3"/>
      <c r="V45" s="3"/>
      <c r="W45" s="3"/>
      <c r="X45" s="3"/>
      <c r="Y45" s="3"/>
      <c r="Z45" s="407"/>
      <c r="AA45" s="3"/>
      <c r="AB45" s="3"/>
      <c r="AC45" s="3"/>
      <c r="AD45" s="3"/>
      <c r="AE45" s="3"/>
      <c r="AF45" s="3"/>
    </row>
    <row r="46" spans="1:32" x14ac:dyDescent="0.45">
      <c r="A46" s="3"/>
      <c r="B46" s="132"/>
      <c r="C46" s="132"/>
      <c r="D46" s="132"/>
      <c r="E46" s="132"/>
      <c r="F46" s="132"/>
      <c r="G46" s="132"/>
      <c r="H46" s="132"/>
      <c r="I46" s="326"/>
      <c r="J46" s="3"/>
      <c r="K46" s="341" t="s">
        <v>519</v>
      </c>
      <c r="L46" s="342"/>
      <c r="M46" s="342"/>
      <c r="N46" s="342"/>
      <c r="O46" s="342"/>
      <c r="P46" s="342"/>
      <c r="Q46" s="342"/>
      <c r="R46" s="342"/>
      <c r="S46" s="342"/>
      <c r="T46" s="386"/>
      <c r="U46" s="3"/>
      <c r="V46" s="3"/>
      <c r="W46" s="3"/>
      <c r="X46" s="3"/>
      <c r="Y46" s="3"/>
      <c r="Z46" s="407"/>
      <c r="AA46" s="3"/>
      <c r="AB46" s="3"/>
      <c r="AC46" s="3"/>
      <c r="AD46" s="3"/>
      <c r="AE46" s="3"/>
      <c r="AF46" s="3"/>
    </row>
    <row r="47" spans="1:32" x14ac:dyDescent="0.45">
      <c r="A47" s="3"/>
      <c r="B47" s="132"/>
      <c r="C47" s="345" t="s">
        <v>526</v>
      </c>
      <c r="D47" s="345"/>
      <c r="E47" s="132"/>
      <c r="F47" s="132"/>
      <c r="G47" s="132"/>
      <c r="H47" s="132"/>
      <c r="I47" s="326"/>
      <c r="J47" s="3"/>
      <c r="K47" s="3"/>
      <c r="L47" s="3"/>
      <c r="M47" s="3"/>
      <c r="N47" s="3"/>
      <c r="O47" s="3"/>
      <c r="P47" s="3"/>
      <c r="Q47" s="3"/>
      <c r="R47" s="3"/>
      <c r="S47" s="3"/>
      <c r="T47" s="3"/>
      <c r="U47" s="3"/>
      <c r="V47" s="3"/>
      <c r="W47" s="3"/>
      <c r="X47" s="3"/>
      <c r="Y47" s="3"/>
      <c r="Z47" s="407"/>
      <c r="AA47" s="3"/>
      <c r="AB47" s="3"/>
      <c r="AC47" s="3"/>
      <c r="AD47" s="3"/>
      <c r="AE47" s="3"/>
      <c r="AF47" s="3"/>
    </row>
    <row r="48" spans="1:32" ht="26.25" x14ac:dyDescent="0.45">
      <c r="A48" s="3"/>
      <c r="B48" s="132" t="s">
        <v>394</v>
      </c>
      <c r="C48" s="406">
        <f>C41*D41*$C$33*$C$37</f>
        <v>0</v>
      </c>
      <c r="D48" s="346"/>
      <c r="E48" s="132"/>
      <c r="F48" s="132" t="s">
        <v>528</v>
      </c>
      <c r="G48" s="132"/>
      <c r="H48" s="132"/>
      <c r="I48" s="326"/>
      <c r="J48" s="3"/>
      <c r="K48" s="408" t="s">
        <v>51</v>
      </c>
      <c r="L48" s="409" t="s">
        <v>520</v>
      </c>
      <c r="M48" s="409" t="s">
        <v>521</v>
      </c>
      <c r="N48" s="410" t="s">
        <v>522</v>
      </c>
      <c r="O48" s="411" t="s">
        <v>523</v>
      </c>
      <c r="P48" s="3"/>
      <c r="Q48" s="3"/>
      <c r="R48" s="3"/>
      <c r="S48" s="3"/>
      <c r="T48" s="3"/>
      <c r="U48" s="3"/>
      <c r="V48" s="3"/>
      <c r="W48" s="3"/>
      <c r="X48" s="3"/>
      <c r="Y48" s="3"/>
      <c r="Z48" s="407"/>
      <c r="AA48" s="3"/>
      <c r="AB48" s="3"/>
      <c r="AC48" s="3"/>
      <c r="AD48" s="3"/>
      <c r="AE48" s="3"/>
      <c r="AF48" s="3"/>
    </row>
    <row r="49" spans="1:32" x14ac:dyDescent="0.45">
      <c r="A49" s="3"/>
      <c r="B49" s="132" t="s">
        <v>395</v>
      </c>
      <c r="C49" s="406">
        <f t="shared" ref="C49:C51" si="14">C42*D42*$C$33*$C$37</f>
        <v>0</v>
      </c>
      <c r="D49" s="346"/>
      <c r="E49" s="132"/>
      <c r="F49" s="132" t="s">
        <v>528</v>
      </c>
      <c r="G49" s="132"/>
      <c r="H49" s="132"/>
      <c r="I49" s="326"/>
      <c r="J49" s="3"/>
      <c r="K49" s="412"/>
      <c r="L49" s="413"/>
      <c r="M49" s="413"/>
      <c r="N49" s="414" t="s">
        <v>524</v>
      </c>
      <c r="O49" s="415" t="s">
        <v>525</v>
      </c>
      <c r="P49" s="3"/>
      <c r="Q49" s="3"/>
      <c r="R49" s="3"/>
      <c r="S49" s="3"/>
      <c r="T49" s="3"/>
      <c r="U49" s="3"/>
      <c r="V49" s="3"/>
      <c r="W49" s="3"/>
      <c r="X49" s="3"/>
      <c r="Y49" s="3"/>
      <c r="Z49" s="407"/>
      <c r="AA49" s="3"/>
      <c r="AB49" s="3"/>
      <c r="AC49" s="3"/>
      <c r="AD49" s="3"/>
      <c r="AE49" s="3"/>
      <c r="AF49" s="3"/>
    </row>
    <row r="50" spans="1:32" x14ac:dyDescent="0.45">
      <c r="A50" s="3"/>
      <c r="B50" s="132" t="s">
        <v>369</v>
      </c>
      <c r="C50" s="406">
        <f t="shared" si="14"/>
        <v>15075.412650968361</v>
      </c>
      <c r="D50" s="346"/>
      <c r="E50" s="132"/>
      <c r="F50" s="132" t="s">
        <v>528</v>
      </c>
      <c r="G50" s="132"/>
      <c r="H50" s="132"/>
      <c r="I50" s="326"/>
      <c r="J50" s="3"/>
      <c r="K50" s="416"/>
      <c r="L50" s="417"/>
      <c r="M50" s="417"/>
      <c r="N50" s="418" t="s">
        <v>527</v>
      </c>
      <c r="O50" s="419"/>
      <c r="P50" s="3"/>
      <c r="Q50" s="3"/>
      <c r="R50" s="3"/>
      <c r="S50" s="3"/>
      <c r="T50" s="3"/>
      <c r="U50" s="3"/>
      <c r="V50" s="3"/>
      <c r="W50" s="3"/>
      <c r="X50" s="3"/>
      <c r="Y50" s="3"/>
      <c r="Z50" s="407"/>
      <c r="AA50" s="3"/>
      <c r="AB50" s="3"/>
      <c r="AC50" s="3"/>
      <c r="AD50" s="3"/>
      <c r="AE50" s="3"/>
      <c r="AF50" s="3"/>
    </row>
    <row r="51" spans="1:32" x14ac:dyDescent="0.45">
      <c r="A51" s="3"/>
      <c r="B51" s="132" t="s">
        <v>502</v>
      </c>
      <c r="C51" s="406">
        <f t="shared" si="14"/>
        <v>0</v>
      </c>
      <c r="D51" s="346"/>
      <c r="E51" s="132"/>
      <c r="F51" s="132" t="s">
        <v>528</v>
      </c>
      <c r="G51" s="132"/>
      <c r="H51" s="132"/>
      <c r="I51" s="326"/>
      <c r="J51" s="3"/>
      <c r="K51" s="222" t="s">
        <v>474</v>
      </c>
      <c r="L51" s="223" t="s">
        <v>529</v>
      </c>
      <c r="M51" s="223" t="s">
        <v>530</v>
      </c>
      <c r="N51" s="223">
        <v>0</v>
      </c>
      <c r="O51" s="226">
        <v>53000</v>
      </c>
      <c r="P51" s="3"/>
      <c r="Q51" s="3"/>
      <c r="R51" s="3"/>
      <c r="S51" s="3"/>
      <c r="T51" s="3"/>
      <c r="U51" s="3"/>
      <c r="V51" s="3"/>
      <c r="W51" s="3"/>
      <c r="X51" s="3"/>
      <c r="Y51" s="3"/>
      <c r="Z51" s="407"/>
      <c r="AA51" s="3"/>
      <c r="AB51" s="3"/>
      <c r="AC51" s="3"/>
      <c r="AD51" s="3"/>
      <c r="AE51" s="3"/>
      <c r="AF51" s="3"/>
    </row>
    <row r="52" spans="1:32" x14ac:dyDescent="0.45">
      <c r="A52" s="3"/>
      <c r="B52" s="132" t="s">
        <v>536</v>
      </c>
      <c r="C52" s="406">
        <f>C45*D45*$C$33*$C$37</f>
        <v>0</v>
      </c>
      <c r="D52" s="346"/>
      <c r="E52" s="132"/>
      <c r="F52" s="132" t="s">
        <v>528</v>
      </c>
      <c r="G52" s="132"/>
      <c r="H52" s="132"/>
      <c r="I52" s="326"/>
      <c r="J52" s="3"/>
      <c r="K52" s="222" t="s">
        <v>474</v>
      </c>
      <c r="L52" s="223" t="s">
        <v>531</v>
      </c>
      <c r="M52" s="223" t="s">
        <v>530</v>
      </c>
      <c r="N52" s="223">
        <v>0</v>
      </c>
      <c r="O52" s="226">
        <v>106000</v>
      </c>
      <c r="P52" s="3"/>
      <c r="Q52" s="3"/>
      <c r="R52" s="3"/>
      <c r="S52" s="3"/>
      <c r="T52" s="3"/>
      <c r="U52" s="3"/>
      <c r="V52" s="3"/>
      <c r="W52" s="3"/>
      <c r="X52" s="3"/>
      <c r="Y52" s="3"/>
      <c r="Z52" s="407"/>
      <c r="AA52" s="3"/>
      <c r="AB52" s="3"/>
      <c r="AC52" s="3"/>
      <c r="AD52" s="3"/>
      <c r="AE52" s="3"/>
      <c r="AF52" s="3"/>
    </row>
    <row r="53" spans="1:32" x14ac:dyDescent="0.45">
      <c r="A53" s="3"/>
      <c r="B53" s="132"/>
      <c r="C53" s="406"/>
      <c r="D53" s="346"/>
      <c r="E53" s="132"/>
      <c r="F53" s="132"/>
      <c r="G53" s="132"/>
      <c r="H53" s="132"/>
      <c r="I53" s="326"/>
      <c r="J53" s="3"/>
      <c r="K53" s="222" t="s">
        <v>474</v>
      </c>
      <c r="L53" s="223" t="s">
        <v>532</v>
      </c>
      <c r="M53" s="223" t="s">
        <v>533</v>
      </c>
      <c r="N53" s="223">
        <v>0.90500000000000003</v>
      </c>
      <c r="O53" s="226">
        <v>2720000</v>
      </c>
      <c r="P53" s="3"/>
      <c r="Q53" s="3"/>
      <c r="R53" s="3"/>
      <c r="S53" s="3"/>
      <c r="T53" s="3"/>
      <c r="U53" s="3"/>
      <c r="V53" s="3"/>
      <c r="W53" s="3"/>
      <c r="X53" s="3"/>
      <c r="Y53" s="3"/>
      <c r="Z53" s="407"/>
      <c r="AA53" s="3"/>
      <c r="AB53" s="3"/>
      <c r="AC53" s="3"/>
      <c r="AD53" s="3"/>
      <c r="AE53" s="3"/>
      <c r="AF53" s="3"/>
    </row>
    <row r="54" spans="1:32" x14ac:dyDescent="0.45">
      <c r="A54" s="3"/>
      <c r="B54" s="334" t="s">
        <v>541</v>
      </c>
      <c r="C54" s="406">
        <f>SUM(C48:C52)</f>
        <v>15075.412650968361</v>
      </c>
      <c r="D54" s="346"/>
      <c r="E54" s="132"/>
      <c r="F54" s="132" t="s">
        <v>528</v>
      </c>
      <c r="G54" s="132"/>
      <c r="H54" s="132"/>
      <c r="I54" s="326"/>
      <c r="J54" s="3"/>
      <c r="K54" s="222" t="s">
        <v>474</v>
      </c>
      <c r="L54" s="223" t="s">
        <v>534</v>
      </c>
      <c r="M54" s="223" t="s">
        <v>535</v>
      </c>
      <c r="N54" s="223">
        <v>0</v>
      </c>
      <c r="O54" s="226">
        <v>240000</v>
      </c>
      <c r="P54" s="3"/>
      <c r="Q54" s="3"/>
      <c r="R54" s="3"/>
      <c r="S54" s="3"/>
      <c r="T54" s="3"/>
      <c r="U54" s="3"/>
      <c r="V54" s="3"/>
      <c r="W54" s="3"/>
      <c r="X54" s="3"/>
      <c r="Y54" s="3"/>
      <c r="Z54" s="407"/>
      <c r="AA54" s="3"/>
      <c r="AB54" s="3"/>
      <c r="AC54" s="3"/>
      <c r="AD54" s="3"/>
      <c r="AE54" s="3"/>
      <c r="AF54" s="3"/>
    </row>
    <row r="55" spans="1:32" x14ac:dyDescent="0.45">
      <c r="A55" s="3"/>
      <c r="B55" s="334" t="s">
        <v>541</v>
      </c>
      <c r="C55" s="420">
        <f>C54*10^-3</f>
        <v>15.075412650968362</v>
      </c>
      <c r="D55" s="346"/>
      <c r="E55" s="132"/>
      <c r="F55" s="334" t="s">
        <v>382</v>
      </c>
      <c r="G55" s="132"/>
      <c r="H55" s="132"/>
      <c r="I55" s="326"/>
      <c r="J55" s="3"/>
      <c r="K55" s="222" t="s">
        <v>474</v>
      </c>
      <c r="L55" s="223" t="s">
        <v>537</v>
      </c>
      <c r="M55" s="223" t="s">
        <v>538</v>
      </c>
      <c r="N55" s="223">
        <v>0</v>
      </c>
      <c r="O55" s="226">
        <v>80000</v>
      </c>
      <c r="P55" s="3"/>
      <c r="Q55" s="3"/>
      <c r="R55" s="3"/>
      <c r="S55" s="3"/>
      <c r="T55" s="3"/>
      <c r="U55" s="3"/>
      <c r="V55" s="3"/>
      <c r="W55" s="3"/>
      <c r="X55" s="3"/>
      <c r="Y55" s="3"/>
      <c r="Z55" s="407"/>
      <c r="AA55" s="3"/>
      <c r="AB55" s="3"/>
      <c r="AC55" s="3"/>
      <c r="AD55" s="3"/>
      <c r="AE55" s="3"/>
      <c r="AF55" s="3"/>
    </row>
    <row r="56" spans="1:32" x14ac:dyDescent="0.45">
      <c r="A56" s="3"/>
      <c r="B56" s="132"/>
      <c r="C56" s="132"/>
      <c r="D56" s="132"/>
      <c r="E56" s="132"/>
      <c r="F56" s="132"/>
      <c r="G56" s="132"/>
      <c r="H56" s="132"/>
      <c r="I56" s="326"/>
      <c r="J56" s="3"/>
      <c r="K56" s="222" t="s">
        <v>474</v>
      </c>
      <c r="L56" s="223" t="s">
        <v>539</v>
      </c>
      <c r="M56" s="223" t="s">
        <v>540</v>
      </c>
      <c r="N56" s="223">
        <v>0.57699999999999996</v>
      </c>
      <c r="O56" s="226">
        <v>664000</v>
      </c>
      <c r="P56" s="3"/>
      <c r="Q56" s="3"/>
      <c r="R56" s="3"/>
      <c r="S56" s="3"/>
      <c r="T56" s="3"/>
      <c r="U56" s="3"/>
      <c r="V56" s="3"/>
      <c r="W56" s="3"/>
      <c r="X56" s="3"/>
      <c r="Y56" s="3"/>
      <c r="Z56" s="407"/>
      <c r="AA56" s="3"/>
      <c r="AB56" s="3"/>
      <c r="AC56" s="3"/>
      <c r="AD56" s="3"/>
      <c r="AE56" s="3"/>
      <c r="AF56" s="3"/>
    </row>
    <row r="57" spans="1:32" x14ac:dyDescent="0.45">
      <c r="A57" s="3"/>
      <c r="B57" s="133" t="s">
        <v>442</v>
      </c>
      <c r="C57" s="330">
        <f>C55+C29+C15</f>
        <v>112.91203725336837</v>
      </c>
      <c r="D57" s="133"/>
      <c r="E57" s="354"/>
      <c r="F57" s="133" t="s">
        <v>445</v>
      </c>
      <c r="G57" s="133"/>
      <c r="H57" s="133"/>
      <c r="I57" s="356"/>
      <c r="J57" s="3"/>
      <c r="K57" s="222" t="s">
        <v>474</v>
      </c>
      <c r="L57" s="223" t="s">
        <v>542</v>
      </c>
      <c r="M57" s="223" t="s">
        <v>533</v>
      </c>
      <c r="N57" s="223">
        <v>0.91</v>
      </c>
      <c r="O57" s="226">
        <v>2880000</v>
      </c>
      <c r="P57" s="3"/>
      <c r="Q57" s="3"/>
      <c r="R57" s="3"/>
      <c r="S57" s="3"/>
      <c r="T57" s="3"/>
      <c r="U57" s="3"/>
      <c r="V57" s="3"/>
      <c r="W57" s="3"/>
      <c r="X57" s="3"/>
      <c r="Y57" s="3"/>
      <c r="Z57" s="407"/>
      <c r="AA57" s="3"/>
      <c r="AB57" s="3"/>
      <c r="AC57" s="3"/>
      <c r="AD57" s="3"/>
      <c r="AE57" s="3"/>
      <c r="AF57" s="3"/>
    </row>
    <row r="58" spans="1:32" ht="17.25" x14ac:dyDescent="0.45">
      <c r="A58" s="3"/>
      <c r="B58" s="368" t="s">
        <v>385</v>
      </c>
      <c r="C58" s="334"/>
      <c r="D58" s="334"/>
      <c r="E58" s="336"/>
      <c r="F58" s="334"/>
      <c r="G58" s="334"/>
      <c r="H58" s="334"/>
      <c r="I58" s="335"/>
      <c r="J58" s="3"/>
      <c r="K58" s="222" t="s">
        <v>474</v>
      </c>
      <c r="L58" s="223" t="s">
        <v>543</v>
      </c>
      <c r="M58" s="223" t="s">
        <v>544</v>
      </c>
      <c r="N58" s="223">
        <v>0</v>
      </c>
      <c r="O58" s="226">
        <v>47000</v>
      </c>
      <c r="P58" s="3"/>
      <c r="Q58" s="3"/>
      <c r="R58" s="3"/>
      <c r="S58" s="3"/>
      <c r="T58" s="3"/>
      <c r="U58" s="3"/>
      <c r="V58" s="3"/>
      <c r="W58" s="3"/>
      <c r="X58" s="3"/>
      <c r="Y58" s="3"/>
      <c r="Z58" s="407"/>
      <c r="AA58" s="3"/>
      <c r="AB58" s="3"/>
      <c r="AC58" s="3"/>
      <c r="AD58" s="3"/>
      <c r="AE58" s="3"/>
      <c r="AF58" s="3"/>
    </row>
    <row r="59" spans="1:32" x14ac:dyDescent="0.45">
      <c r="A59" s="3"/>
      <c r="B59" s="334" t="s">
        <v>56</v>
      </c>
      <c r="C59" s="334"/>
      <c r="D59" s="334"/>
      <c r="E59" s="336"/>
      <c r="F59" s="334"/>
      <c r="G59" s="334"/>
      <c r="H59" s="334"/>
      <c r="I59" s="335"/>
      <c r="J59" s="3"/>
      <c r="K59" s="222" t="s">
        <v>474</v>
      </c>
      <c r="L59" s="223" t="s">
        <v>545</v>
      </c>
      <c r="M59" s="223" t="s">
        <v>538</v>
      </c>
      <c r="N59" s="223">
        <v>0</v>
      </c>
      <c r="O59" s="226">
        <v>60000</v>
      </c>
      <c r="P59" s="3"/>
      <c r="Q59" s="3"/>
      <c r="R59" s="3"/>
      <c r="S59" s="3"/>
      <c r="T59" s="3"/>
      <c r="U59" s="3"/>
      <c r="V59" s="3"/>
      <c r="W59" s="3"/>
      <c r="X59" s="3"/>
      <c r="Y59" s="3"/>
      <c r="Z59" s="407"/>
      <c r="AA59" s="3"/>
      <c r="AB59" s="3"/>
      <c r="AC59" s="3"/>
      <c r="AD59" s="3"/>
      <c r="AE59" s="3"/>
      <c r="AF59" s="3"/>
    </row>
    <row r="60" spans="1:32" x14ac:dyDescent="0.45">
      <c r="A60" s="3"/>
      <c r="B60" s="132" t="s">
        <v>444</v>
      </c>
      <c r="C60" s="343">
        <f>'Data input'!D94*10^-3</f>
        <v>35.9</v>
      </c>
      <c r="D60" s="334"/>
      <c r="E60" s="336"/>
      <c r="F60" s="379" t="s">
        <v>472</v>
      </c>
      <c r="G60" s="334"/>
      <c r="H60" s="334"/>
      <c r="I60" s="335"/>
      <c r="J60" s="3"/>
      <c r="K60" s="222" t="s">
        <v>474</v>
      </c>
      <c r="L60" s="223" t="s">
        <v>546</v>
      </c>
      <c r="M60" s="223" t="s">
        <v>538</v>
      </c>
      <c r="N60" s="223">
        <v>0</v>
      </c>
      <c r="O60" s="226">
        <v>29000</v>
      </c>
      <c r="P60" s="3"/>
      <c r="Q60" s="3"/>
      <c r="R60" s="3"/>
      <c r="S60" s="3"/>
      <c r="T60" s="3"/>
      <c r="U60" s="3"/>
      <c r="V60" s="3"/>
      <c r="W60" s="3"/>
      <c r="X60" s="3"/>
      <c r="Y60" s="3"/>
      <c r="Z60" s="407"/>
      <c r="AA60" s="3"/>
      <c r="AB60" s="3"/>
      <c r="AC60" s="3"/>
      <c r="AD60" s="3"/>
      <c r="AE60" s="3"/>
      <c r="AF60" s="3"/>
    </row>
    <row r="61" spans="1:32" x14ac:dyDescent="0.45">
      <c r="A61" s="3"/>
      <c r="B61" s="132" t="s">
        <v>476</v>
      </c>
      <c r="C61" s="132">
        <f>C6</f>
        <v>38.6</v>
      </c>
      <c r="D61" s="334"/>
      <c r="E61" s="336"/>
      <c r="F61" s="379" t="s">
        <v>427</v>
      </c>
      <c r="G61" s="334"/>
      <c r="H61" s="334"/>
      <c r="I61" s="332" t="s">
        <v>473</v>
      </c>
      <c r="J61" s="3"/>
      <c r="K61" s="222" t="s">
        <v>474</v>
      </c>
      <c r="L61" s="223" t="s">
        <v>547</v>
      </c>
      <c r="M61" s="223" t="s">
        <v>548</v>
      </c>
      <c r="N61" s="223">
        <v>0.89600000000000002</v>
      </c>
      <c r="O61" s="226">
        <v>51000</v>
      </c>
      <c r="P61" s="3"/>
      <c r="Q61" s="3"/>
      <c r="R61" s="3"/>
      <c r="S61" s="3"/>
      <c r="T61" s="3"/>
      <c r="U61" s="3"/>
      <c r="V61" s="3"/>
      <c r="W61" s="3"/>
      <c r="X61" s="3"/>
      <c r="Y61" s="3"/>
      <c r="Z61" s="407"/>
      <c r="AA61" s="3"/>
      <c r="AB61" s="3"/>
      <c r="AC61" s="3"/>
      <c r="AD61" s="3"/>
      <c r="AE61" s="3"/>
      <c r="AF61" s="3"/>
    </row>
    <row r="62" spans="1:32" x14ac:dyDescent="0.45">
      <c r="A62" s="3"/>
      <c r="B62" s="132" t="s">
        <v>552</v>
      </c>
      <c r="C62" s="132">
        <v>0.1</v>
      </c>
      <c r="D62" s="334"/>
      <c r="E62" s="336"/>
      <c r="F62" s="379" t="s">
        <v>495</v>
      </c>
      <c r="G62" s="334"/>
      <c r="H62" s="334"/>
      <c r="I62" s="332" t="s">
        <v>473</v>
      </c>
      <c r="J62" s="3"/>
      <c r="K62" s="222" t="s">
        <v>474</v>
      </c>
      <c r="L62" s="223" t="s">
        <v>549</v>
      </c>
      <c r="M62" s="223" t="s">
        <v>533</v>
      </c>
      <c r="N62" s="223">
        <v>0.98799999999999999</v>
      </c>
      <c r="O62" s="226">
        <v>2100000</v>
      </c>
      <c r="P62" s="3"/>
      <c r="Q62" s="3"/>
      <c r="R62" s="3"/>
      <c r="S62" s="3"/>
      <c r="T62" s="3"/>
      <c r="U62" s="3"/>
      <c r="V62" s="3"/>
      <c r="W62" s="3"/>
      <c r="X62" s="3"/>
      <c r="Y62" s="3"/>
      <c r="Z62" s="407"/>
      <c r="AA62" s="3"/>
      <c r="AB62" s="3"/>
      <c r="AC62" s="3"/>
      <c r="AD62" s="3"/>
      <c r="AE62" s="3"/>
      <c r="AF62" s="3"/>
    </row>
    <row r="63" spans="1:32" x14ac:dyDescent="0.45">
      <c r="A63" s="3"/>
      <c r="B63" s="132" t="s">
        <v>554</v>
      </c>
      <c r="C63" s="132">
        <v>0.2</v>
      </c>
      <c r="D63" s="334"/>
      <c r="E63" s="336"/>
      <c r="F63" s="379" t="s">
        <v>495</v>
      </c>
      <c r="G63" s="334"/>
      <c r="H63" s="334"/>
      <c r="I63" s="332" t="s">
        <v>473</v>
      </c>
      <c r="J63" s="3"/>
      <c r="K63" s="222" t="s">
        <v>474</v>
      </c>
      <c r="L63" s="223" t="s">
        <v>550</v>
      </c>
      <c r="M63" s="223" t="s">
        <v>533</v>
      </c>
      <c r="N63" s="223">
        <v>0.85</v>
      </c>
      <c r="O63" s="226">
        <v>1340000</v>
      </c>
      <c r="P63" s="3"/>
      <c r="Q63" s="3"/>
      <c r="R63" s="3"/>
      <c r="S63" s="3"/>
      <c r="T63" s="3"/>
      <c r="U63" s="3"/>
      <c r="V63" s="3"/>
      <c r="W63" s="3"/>
      <c r="X63" s="3"/>
      <c r="Y63" s="3"/>
      <c r="Z63" s="407"/>
      <c r="AA63" s="3"/>
      <c r="AB63" s="3"/>
      <c r="AC63" s="3"/>
      <c r="AD63" s="3"/>
      <c r="AE63" s="3"/>
      <c r="AF63" s="3"/>
    </row>
    <row r="64" spans="1:32" x14ac:dyDescent="0.45">
      <c r="A64" s="3"/>
      <c r="B64" s="334"/>
      <c r="C64" s="334"/>
      <c r="D64" s="334"/>
      <c r="E64" s="336"/>
      <c r="F64" s="374"/>
      <c r="G64" s="334"/>
      <c r="H64" s="334"/>
      <c r="I64" s="335"/>
      <c r="J64" s="3"/>
      <c r="K64" s="222" t="s">
        <v>474</v>
      </c>
      <c r="L64" s="223" t="s">
        <v>551</v>
      </c>
      <c r="M64" s="223" t="s">
        <v>533</v>
      </c>
      <c r="N64" s="223">
        <v>1.0549999999999999</v>
      </c>
      <c r="O64" s="226">
        <v>600000</v>
      </c>
      <c r="P64" s="3"/>
      <c r="Q64" s="3"/>
      <c r="R64" s="3"/>
      <c r="S64" s="3"/>
      <c r="T64" s="3"/>
      <c r="U64" s="3"/>
      <c r="V64" s="3"/>
      <c r="W64" s="3"/>
      <c r="X64" s="3"/>
      <c r="Y64" s="3"/>
      <c r="Z64" s="407"/>
      <c r="AA64" s="3"/>
      <c r="AB64" s="3"/>
      <c r="AC64" s="3"/>
      <c r="AD64" s="3"/>
      <c r="AE64" s="3"/>
      <c r="AF64" s="3"/>
    </row>
    <row r="65" spans="1:32" x14ac:dyDescent="0.45">
      <c r="A65" s="3"/>
      <c r="B65" s="334" t="s">
        <v>443</v>
      </c>
      <c r="C65" s="334" t="s">
        <v>481</v>
      </c>
      <c r="D65" s="132"/>
      <c r="E65" s="132"/>
      <c r="F65" s="379"/>
      <c r="G65" s="132"/>
      <c r="H65" s="334"/>
      <c r="I65" s="332" t="s">
        <v>488</v>
      </c>
      <c r="J65" s="3"/>
      <c r="K65" s="222" t="s">
        <v>474</v>
      </c>
      <c r="L65" s="223" t="s">
        <v>553</v>
      </c>
      <c r="M65" s="223" t="s">
        <v>533</v>
      </c>
      <c r="N65" s="223">
        <v>1.1060000000000001</v>
      </c>
      <c r="O65" s="226">
        <v>150000</v>
      </c>
      <c r="P65" s="3"/>
      <c r="Q65" s="3"/>
      <c r="R65" s="3"/>
      <c r="S65" s="3"/>
      <c r="T65" s="3"/>
      <c r="U65" s="3"/>
      <c r="V65" s="3"/>
      <c r="W65" s="3"/>
      <c r="X65" s="3"/>
      <c r="Y65" s="3"/>
      <c r="Z65" s="407"/>
      <c r="AA65" s="3"/>
      <c r="AB65" s="3"/>
      <c r="AC65" s="3"/>
      <c r="AD65" s="3"/>
      <c r="AE65" s="3"/>
      <c r="AF65" s="3"/>
    </row>
    <row r="66" spans="1:32" x14ac:dyDescent="0.45">
      <c r="A66" s="3"/>
      <c r="B66" s="334"/>
      <c r="C66" s="132" t="s">
        <v>483</v>
      </c>
      <c r="D66" s="132"/>
      <c r="E66" s="132"/>
      <c r="F66" s="379" t="s">
        <v>558</v>
      </c>
      <c r="G66" s="132"/>
      <c r="H66" s="334"/>
      <c r="I66" s="335"/>
      <c r="J66" s="3"/>
      <c r="K66" s="222" t="s">
        <v>474</v>
      </c>
      <c r="L66" s="223" t="s">
        <v>555</v>
      </c>
      <c r="M66" s="223" t="s">
        <v>538</v>
      </c>
      <c r="N66" s="223">
        <v>0</v>
      </c>
      <c r="O66" s="226">
        <v>240000</v>
      </c>
      <c r="P66" s="3"/>
      <c r="Q66" s="3"/>
      <c r="R66" s="3"/>
      <c r="S66" s="3"/>
      <c r="T66" s="3"/>
      <c r="U66" s="3"/>
      <c r="V66" s="3"/>
      <c r="W66" s="3"/>
      <c r="X66" s="3"/>
      <c r="Y66" s="3"/>
      <c r="Z66" s="407"/>
      <c r="AA66" s="3"/>
      <c r="AB66" s="3"/>
      <c r="AC66" s="3"/>
      <c r="AD66" s="3"/>
      <c r="AE66" s="3"/>
      <c r="AF66" s="3"/>
    </row>
    <row r="67" spans="1:32" x14ac:dyDescent="0.45">
      <c r="A67" s="3"/>
      <c r="B67" s="334"/>
      <c r="C67" s="132" t="s">
        <v>486</v>
      </c>
      <c r="D67" s="132"/>
      <c r="E67" s="132"/>
      <c r="F67" s="379" t="s">
        <v>472</v>
      </c>
      <c r="G67" s="132"/>
      <c r="H67" s="334"/>
      <c r="I67" s="335"/>
      <c r="J67" s="3"/>
      <c r="K67" s="222" t="s">
        <v>474</v>
      </c>
      <c r="L67" s="223" t="s">
        <v>556</v>
      </c>
      <c r="M67" s="223" t="s">
        <v>540</v>
      </c>
      <c r="N67" s="223">
        <v>0.45</v>
      </c>
      <c r="O67" s="226">
        <v>176000</v>
      </c>
      <c r="P67" s="3"/>
      <c r="Q67" s="3"/>
      <c r="R67" s="3"/>
      <c r="S67" s="3"/>
      <c r="T67" s="3"/>
      <c r="U67" s="3"/>
      <c r="V67" s="3"/>
      <c r="W67" s="3"/>
      <c r="X67" s="3"/>
      <c r="Y67" s="3"/>
      <c r="Z67" s="407"/>
      <c r="AA67" s="3"/>
      <c r="AB67" s="3"/>
      <c r="AC67" s="3"/>
      <c r="AD67" s="3"/>
      <c r="AE67" s="3"/>
      <c r="AF67" s="3"/>
    </row>
    <row r="68" spans="1:32" x14ac:dyDescent="0.45">
      <c r="A68" s="3"/>
      <c r="B68" s="334"/>
      <c r="C68" s="132" t="s">
        <v>490</v>
      </c>
      <c r="D68" s="132"/>
      <c r="E68" s="132"/>
      <c r="F68" s="379" t="s">
        <v>561</v>
      </c>
      <c r="G68" s="132"/>
      <c r="H68" s="334"/>
      <c r="I68" s="335"/>
      <c r="J68" s="3"/>
      <c r="K68" s="222" t="s">
        <v>474</v>
      </c>
      <c r="L68" s="223" t="s">
        <v>557</v>
      </c>
      <c r="M68" s="223" t="s">
        <v>540</v>
      </c>
      <c r="N68" s="223">
        <v>0.36899999999999999</v>
      </c>
      <c r="O68" s="226">
        <v>430000</v>
      </c>
      <c r="P68" s="3"/>
      <c r="Q68" s="3"/>
      <c r="R68" s="3"/>
      <c r="S68" s="3"/>
      <c r="T68" s="3"/>
      <c r="U68" s="3"/>
      <c r="V68" s="3"/>
      <c r="W68" s="3"/>
      <c r="X68" s="3"/>
      <c r="Y68" s="3"/>
      <c r="Z68" s="407"/>
      <c r="AA68" s="3"/>
      <c r="AB68" s="3"/>
      <c r="AC68" s="3"/>
      <c r="AD68" s="3"/>
      <c r="AE68" s="3"/>
      <c r="AF68" s="3"/>
    </row>
    <row r="69" spans="1:32" x14ac:dyDescent="0.45">
      <c r="A69" s="3"/>
      <c r="B69" s="334"/>
      <c r="C69" s="132" t="s">
        <v>494</v>
      </c>
      <c r="D69" s="132"/>
      <c r="E69" s="132"/>
      <c r="F69" s="379" t="s">
        <v>495</v>
      </c>
      <c r="G69" s="132"/>
      <c r="H69" s="334"/>
      <c r="I69" s="335"/>
      <c r="J69" s="3"/>
      <c r="K69" s="222" t="s">
        <v>474</v>
      </c>
      <c r="L69" s="223" t="s">
        <v>559</v>
      </c>
      <c r="M69" s="223" t="s">
        <v>538</v>
      </c>
      <c r="N69" s="223">
        <v>0</v>
      </c>
      <c r="O69" s="226">
        <v>616000</v>
      </c>
      <c r="P69" s="3"/>
      <c r="Q69" s="3"/>
      <c r="R69" s="3"/>
      <c r="S69" s="3"/>
      <c r="T69" s="3"/>
      <c r="U69" s="3"/>
      <c r="V69" s="3"/>
      <c r="W69" s="3"/>
      <c r="X69" s="3"/>
      <c r="Y69" s="3"/>
      <c r="Z69" s="407"/>
      <c r="AA69" s="3"/>
      <c r="AB69" s="3"/>
      <c r="AC69" s="3"/>
      <c r="AD69" s="3"/>
      <c r="AE69" s="3"/>
      <c r="AF69" s="3"/>
    </row>
    <row r="70" spans="1:32" x14ac:dyDescent="0.45">
      <c r="A70" s="3"/>
      <c r="B70" s="334"/>
      <c r="C70" s="334"/>
      <c r="D70" s="334"/>
      <c r="E70" s="336"/>
      <c r="F70" s="374"/>
      <c r="G70" s="334"/>
      <c r="H70" s="334"/>
      <c r="I70" s="335"/>
      <c r="J70" s="3"/>
      <c r="K70" s="222" t="s">
        <v>474</v>
      </c>
      <c r="L70" s="223" t="s">
        <v>560</v>
      </c>
      <c r="M70" s="223" t="s">
        <v>538</v>
      </c>
      <c r="N70" s="223">
        <v>0</v>
      </c>
      <c r="O70" s="226">
        <v>1500000</v>
      </c>
      <c r="P70" s="3"/>
      <c r="Q70" s="3"/>
      <c r="R70" s="3"/>
      <c r="S70" s="3"/>
      <c r="T70" s="3"/>
      <c r="U70" s="3"/>
      <c r="V70" s="3"/>
      <c r="W70" s="3"/>
      <c r="X70" s="3"/>
      <c r="Y70" s="3"/>
      <c r="Z70" s="407"/>
      <c r="AA70" s="3"/>
      <c r="AB70" s="3"/>
      <c r="AC70" s="3"/>
      <c r="AD70" s="3"/>
      <c r="AE70" s="3"/>
      <c r="AF70" s="3"/>
    </row>
    <row r="71" spans="1:32" x14ac:dyDescent="0.45">
      <c r="A71" s="3"/>
      <c r="B71" s="334" t="s">
        <v>565</v>
      </c>
      <c r="C71" s="421">
        <f>(C60*C61*C62)*10^-3</f>
        <v>0.138574</v>
      </c>
      <c r="D71" s="334"/>
      <c r="E71" s="336"/>
      <c r="F71" s="379" t="s">
        <v>441</v>
      </c>
      <c r="G71" s="334"/>
      <c r="H71" s="334"/>
      <c r="I71" s="335"/>
      <c r="J71" s="3"/>
      <c r="K71" s="222" t="s">
        <v>474</v>
      </c>
      <c r="L71" s="223" t="s">
        <v>562</v>
      </c>
      <c r="M71" s="223" t="s">
        <v>535</v>
      </c>
      <c r="N71" s="223">
        <v>0</v>
      </c>
      <c r="O71" s="226">
        <v>400000</v>
      </c>
      <c r="P71" s="3"/>
      <c r="Q71" s="3"/>
      <c r="R71" s="3"/>
      <c r="S71" s="3"/>
      <c r="T71" s="3"/>
      <c r="U71" s="3"/>
      <c r="V71" s="3"/>
      <c r="W71" s="3"/>
      <c r="X71" s="3"/>
      <c r="Y71" s="3"/>
      <c r="Z71" s="407"/>
      <c r="AA71" s="3"/>
      <c r="AB71" s="3"/>
      <c r="AC71" s="3"/>
      <c r="AD71" s="3"/>
      <c r="AE71" s="3"/>
      <c r="AF71" s="3"/>
    </row>
    <row r="72" spans="1:32" x14ac:dyDescent="0.45">
      <c r="A72" s="3"/>
      <c r="B72" s="334" t="s">
        <v>567</v>
      </c>
      <c r="C72" s="421">
        <f>(C60*C61*C63)*10^-3</f>
        <v>0.27714800000000001</v>
      </c>
      <c r="D72" s="334"/>
      <c r="E72" s="336"/>
      <c r="F72" s="379" t="s">
        <v>441</v>
      </c>
      <c r="G72" s="334"/>
      <c r="H72" s="334"/>
      <c r="I72" s="335"/>
      <c r="J72" s="3"/>
      <c r="K72" s="222" t="s">
        <v>474</v>
      </c>
      <c r="L72" s="223" t="s">
        <v>563</v>
      </c>
      <c r="M72" s="223" t="s">
        <v>540</v>
      </c>
      <c r="N72" s="223">
        <v>0.57699999999999996</v>
      </c>
      <c r="O72" s="226">
        <v>664000</v>
      </c>
      <c r="P72" s="3"/>
      <c r="Q72" s="3"/>
      <c r="R72" s="3"/>
      <c r="S72" s="3"/>
      <c r="T72" s="3"/>
      <c r="U72" s="3"/>
      <c r="V72" s="3"/>
      <c r="W72" s="3"/>
      <c r="X72" s="3"/>
      <c r="Y72" s="3"/>
      <c r="Z72" s="407"/>
      <c r="AA72" s="3"/>
      <c r="AB72" s="3"/>
      <c r="AC72" s="3"/>
      <c r="AD72" s="3"/>
      <c r="AE72" s="3"/>
      <c r="AF72" s="3"/>
    </row>
    <row r="73" spans="1:32" x14ac:dyDescent="0.45">
      <c r="A73" s="3"/>
      <c r="B73" s="334"/>
      <c r="C73" s="334"/>
      <c r="D73" s="334"/>
      <c r="E73" s="336"/>
      <c r="F73" s="374"/>
      <c r="G73" s="334"/>
      <c r="H73" s="334"/>
      <c r="I73" s="335"/>
      <c r="J73" s="3"/>
      <c r="K73" s="222" t="s">
        <v>474</v>
      </c>
      <c r="L73" s="223" t="s">
        <v>564</v>
      </c>
      <c r="M73" s="223" t="s">
        <v>533</v>
      </c>
      <c r="N73" s="223">
        <v>0.91300000000000003</v>
      </c>
      <c r="O73" s="226">
        <v>1320000</v>
      </c>
      <c r="P73" s="3"/>
      <c r="Q73" s="3"/>
      <c r="R73" s="3"/>
      <c r="S73" s="3"/>
      <c r="T73" s="3"/>
      <c r="U73" s="3"/>
      <c r="V73" s="3"/>
      <c r="W73" s="3"/>
      <c r="X73" s="3"/>
      <c r="Y73" s="3"/>
      <c r="Z73" s="407"/>
      <c r="AA73" s="3"/>
      <c r="AB73" s="3"/>
      <c r="AC73" s="3"/>
      <c r="AD73" s="3"/>
      <c r="AE73" s="3"/>
      <c r="AF73" s="3"/>
    </row>
    <row r="74" spans="1:32" ht="17.25" x14ac:dyDescent="0.45">
      <c r="A74" s="3"/>
      <c r="B74" s="392" t="s">
        <v>369</v>
      </c>
      <c r="C74" s="334"/>
      <c r="D74" s="334"/>
      <c r="E74" s="336"/>
      <c r="F74" s="374"/>
      <c r="G74" s="334"/>
      <c r="H74" s="334"/>
      <c r="I74" s="335"/>
      <c r="J74" s="3"/>
      <c r="K74" s="222" t="s">
        <v>474</v>
      </c>
      <c r="L74" s="223" t="s">
        <v>566</v>
      </c>
      <c r="M74" s="223" t="s">
        <v>533</v>
      </c>
      <c r="N74" s="223">
        <v>0.95099999999999996</v>
      </c>
      <c r="O74" s="226">
        <v>960000</v>
      </c>
      <c r="P74" s="3"/>
      <c r="Q74" s="3"/>
      <c r="R74" s="3"/>
      <c r="S74" s="3"/>
      <c r="T74" s="3"/>
      <c r="U74" s="407"/>
      <c r="V74" s="407"/>
      <c r="W74" s="407"/>
      <c r="X74" s="407"/>
      <c r="Y74" s="407"/>
      <c r="Z74" s="407"/>
      <c r="AA74" s="3"/>
      <c r="AB74" s="3"/>
      <c r="AC74" s="3"/>
      <c r="AD74" s="3"/>
      <c r="AE74" s="3"/>
      <c r="AF74" s="3"/>
    </row>
    <row r="75" spans="1:32" x14ac:dyDescent="0.45">
      <c r="A75" s="3"/>
      <c r="B75" s="334" t="s">
        <v>56</v>
      </c>
      <c r="C75" s="334"/>
      <c r="D75" s="334"/>
      <c r="E75" s="336"/>
      <c r="F75" s="374"/>
      <c r="G75" s="334"/>
      <c r="H75" s="334"/>
      <c r="I75" s="335"/>
      <c r="J75" s="3"/>
      <c r="K75" s="222" t="s">
        <v>474</v>
      </c>
      <c r="L75" s="223" t="s">
        <v>568</v>
      </c>
      <c r="M75" s="223" t="s">
        <v>544</v>
      </c>
      <c r="N75" s="223">
        <v>0</v>
      </c>
      <c r="O75" s="226">
        <v>48000</v>
      </c>
      <c r="P75" s="3"/>
      <c r="Q75" s="3"/>
      <c r="R75" s="3"/>
      <c r="S75" s="3"/>
      <c r="T75" s="3"/>
      <c r="U75" s="3"/>
      <c r="V75" s="3"/>
      <c r="W75" s="3"/>
      <c r="X75" s="3"/>
      <c r="Y75" s="3"/>
      <c r="Z75" s="3"/>
      <c r="AA75" s="3"/>
      <c r="AB75" s="3"/>
      <c r="AC75" s="3"/>
      <c r="AD75" s="3"/>
      <c r="AE75" s="3"/>
      <c r="AF75" s="3"/>
    </row>
    <row r="76" spans="1:32" x14ac:dyDescent="0.45">
      <c r="A76" s="3"/>
      <c r="B76" s="132" t="s">
        <v>572</v>
      </c>
      <c r="C76" s="343">
        <f>'Data input'!D95*10^-3</f>
        <v>0.62915999999999983</v>
      </c>
      <c r="D76" s="334"/>
      <c r="E76" s="336"/>
      <c r="F76" s="379" t="s">
        <v>472</v>
      </c>
      <c r="G76" s="334"/>
      <c r="H76" s="334"/>
      <c r="I76" s="332"/>
      <c r="J76" s="3"/>
      <c r="K76" s="222" t="s">
        <v>470</v>
      </c>
      <c r="L76" s="223" t="s">
        <v>569</v>
      </c>
      <c r="M76" s="223" t="s">
        <v>540</v>
      </c>
      <c r="N76" s="223">
        <v>0.46200000000000002</v>
      </c>
      <c r="O76" s="226">
        <v>55000</v>
      </c>
      <c r="P76" s="3"/>
      <c r="Q76" s="3"/>
      <c r="R76" s="3"/>
      <c r="S76" s="3"/>
      <c r="T76" s="3"/>
      <c r="U76" s="3"/>
      <c r="V76" s="3"/>
      <c r="W76" s="3"/>
      <c r="X76" s="3"/>
      <c r="Y76" s="3"/>
      <c r="Z76" s="3"/>
      <c r="AA76" s="3"/>
      <c r="AB76" s="3"/>
      <c r="AC76" s="3"/>
      <c r="AD76" s="3"/>
      <c r="AE76" s="3"/>
      <c r="AF76" s="3"/>
    </row>
    <row r="77" spans="1:32" x14ac:dyDescent="0.45">
      <c r="A77" s="3"/>
      <c r="B77" s="132" t="s">
        <v>476</v>
      </c>
      <c r="C77" s="132">
        <f>C20</f>
        <v>25.7</v>
      </c>
      <c r="D77" s="334"/>
      <c r="E77" s="336"/>
      <c r="F77" s="379" t="s">
        <v>427</v>
      </c>
      <c r="G77" s="334"/>
      <c r="H77" s="334"/>
      <c r="I77" s="332" t="s">
        <v>473</v>
      </c>
      <c r="J77" s="3"/>
      <c r="K77" s="222" t="s">
        <v>470</v>
      </c>
      <c r="L77" s="223" t="s">
        <v>570</v>
      </c>
      <c r="M77" s="223" t="s">
        <v>538</v>
      </c>
      <c r="N77" s="223">
        <v>0</v>
      </c>
      <c r="O77" s="226">
        <v>60000</v>
      </c>
      <c r="P77" s="3"/>
      <c r="Q77" s="3"/>
      <c r="R77" s="3"/>
      <c r="S77" s="3"/>
      <c r="T77" s="3"/>
      <c r="U77" s="3"/>
      <c r="V77" s="3"/>
      <c r="W77" s="3"/>
      <c r="X77" s="3"/>
      <c r="Y77" s="3"/>
      <c r="Z77" s="3"/>
      <c r="AA77" s="3"/>
      <c r="AB77" s="3"/>
      <c r="AC77" s="3"/>
      <c r="AD77" s="3"/>
      <c r="AE77" s="3"/>
      <c r="AF77" s="3"/>
    </row>
    <row r="78" spans="1:32" x14ac:dyDescent="0.45">
      <c r="A78" s="3"/>
      <c r="B78" s="132" t="s">
        <v>575</v>
      </c>
      <c r="C78" s="132">
        <v>0.2</v>
      </c>
      <c r="D78" s="334"/>
      <c r="E78" s="336"/>
      <c r="F78" s="379" t="s">
        <v>495</v>
      </c>
      <c r="G78" s="334"/>
      <c r="H78" s="334"/>
      <c r="I78" s="332" t="s">
        <v>473</v>
      </c>
      <c r="J78" s="3"/>
      <c r="K78" s="222" t="s">
        <v>470</v>
      </c>
      <c r="L78" s="223" t="s">
        <v>571</v>
      </c>
      <c r="M78" s="223" t="s">
        <v>540</v>
      </c>
      <c r="N78" s="223">
        <v>0.61599999999999999</v>
      </c>
      <c r="O78" s="226">
        <v>504000</v>
      </c>
      <c r="P78" s="3"/>
      <c r="Q78" s="3"/>
      <c r="R78" s="3"/>
      <c r="S78" s="3"/>
      <c r="T78" s="3"/>
      <c r="U78" s="3"/>
      <c r="V78" s="3"/>
      <c r="W78" s="3"/>
      <c r="X78" s="3"/>
      <c r="Y78" s="3"/>
      <c r="Z78" s="3"/>
      <c r="AA78" s="3"/>
      <c r="AB78" s="3"/>
      <c r="AC78" s="3"/>
      <c r="AD78" s="3"/>
      <c r="AE78" s="3"/>
      <c r="AF78" s="3"/>
    </row>
    <row r="79" spans="1:32" x14ac:dyDescent="0.45">
      <c r="A79" s="3"/>
      <c r="B79" s="132" t="s">
        <v>577</v>
      </c>
      <c r="C79" s="132">
        <v>0.2</v>
      </c>
      <c r="D79" s="334"/>
      <c r="E79" s="336"/>
      <c r="F79" s="379" t="s">
        <v>495</v>
      </c>
      <c r="G79" s="334"/>
      <c r="H79" s="334"/>
      <c r="I79" s="332" t="s">
        <v>473</v>
      </c>
      <c r="J79" s="3"/>
      <c r="K79" s="222" t="s">
        <v>470</v>
      </c>
      <c r="L79" s="223" t="s">
        <v>573</v>
      </c>
      <c r="M79" s="223" t="s">
        <v>540</v>
      </c>
      <c r="N79" s="223">
        <v>0.61599999999999999</v>
      </c>
      <c r="O79" s="226">
        <v>459000</v>
      </c>
      <c r="P79" s="3"/>
      <c r="Q79" s="3"/>
      <c r="R79" s="3"/>
      <c r="S79" s="3"/>
      <c r="T79" s="3"/>
      <c r="U79" s="3"/>
      <c r="V79" s="3"/>
      <c r="W79" s="3"/>
      <c r="X79" s="3"/>
      <c r="Y79" s="3"/>
      <c r="Z79" s="3"/>
      <c r="AA79" s="3"/>
      <c r="AB79" s="3"/>
      <c r="AC79" s="3"/>
      <c r="AD79" s="3"/>
      <c r="AE79" s="3"/>
      <c r="AF79" s="3"/>
    </row>
    <row r="80" spans="1:32" x14ac:dyDescent="0.45">
      <c r="A80" s="3"/>
      <c r="B80" s="334"/>
      <c r="C80" s="334"/>
      <c r="D80" s="334"/>
      <c r="E80" s="336"/>
      <c r="F80" s="374"/>
      <c r="G80" s="334"/>
      <c r="H80" s="334"/>
      <c r="I80" s="335"/>
      <c r="J80" s="3"/>
      <c r="K80" s="222" t="s">
        <v>470</v>
      </c>
      <c r="L80" s="223" t="s">
        <v>574</v>
      </c>
      <c r="M80" s="223" t="s">
        <v>533</v>
      </c>
      <c r="N80" s="223">
        <v>0.92700000000000005</v>
      </c>
      <c r="O80" s="226">
        <v>700000</v>
      </c>
      <c r="P80" s="3"/>
      <c r="Q80" s="407"/>
      <c r="R80" s="407"/>
      <c r="S80" s="407"/>
      <c r="T80" s="407"/>
      <c r="U80" s="3"/>
      <c r="V80" s="3"/>
      <c r="W80" s="3"/>
      <c r="X80" s="3"/>
      <c r="Y80" s="3"/>
      <c r="Z80" s="3"/>
      <c r="AA80" s="3"/>
      <c r="AB80" s="3"/>
      <c r="AC80" s="3"/>
      <c r="AD80" s="3"/>
      <c r="AE80" s="3"/>
      <c r="AF80" s="3"/>
    </row>
    <row r="81" spans="1:32" x14ac:dyDescent="0.45">
      <c r="A81" s="3"/>
      <c r="B81" s="334" t="s">
        <v>448</v>
      </c>
      <c r="C81" s="334" t="s">
        <v>481</v>
      </c>
      <c r="D81" s="334"/>
      <c r="E81" s="336"/>
      <c r="F81" s="374"/>
      <c r="G81" s="334"/>
      <c r="H81" s="334"/>
      <c r="I81" s="332" t="s">
        <v>488</v>
      </c>
      <c r="J81" s="3"/>
      <c r="K81" s="222" t="s">
        <v>470</v>
      </c>
      <c r="L81" s="223" t="s">
        <v>576</v>
      </c>
      <c r="M81" s="223" t="s">
        <v>533</v>
      </c>
      <c r="N81" s="223">
        <v>0.93700000000000006</v>
      </c>
      <c r="O81" s="226">
        <v>810000</v>
      </c>
      <c r="P81" s="3"/>
      <c r="Q81" s="407"/>
      <c r="R81" s="3"/>
      <c r="S81" s="3"/>
      <c r="T81" s="3"/>
      <c r="U81" s="3"/>
      <c r="V81" s="3"/>
      <c r="W81" s="3"/>
      <c r="X81" s="3"/>
      <c r="Y81" s="3"/>
      <c r="Z81" s="3"/>
      <c r="AA81" s="3"/>
      <c r="AB81" s="3"/>
      <c r="AC81" s="3"/>
      <c r="AD81" s="3"/>
      <c r="AE81" s="3"/>
      <c r="AF81" s="3"/>
    </row>
    <row r="82" spans="1:32" x14ac:dyDescent="0.45">
      <c r="A82" s="3"/>
      <c r="B82" s="132"/>
      <c r="C82" s="132" t="s">
        <v>483</v>
      </c>
      <c r="D82" s="132"/>
      <c r="E82" s="343"/>
      <c r="F82" s="379" t="s">
        <v>558</v>
      </c>
      <c r="G82" s="334"/>
      <c r="H82" s="334"/>
      <c r="I82" s="335"/>
      <c r="J82" s="3"/>
      <c r="K82" s="222" t="s">
        <v>470</v>
      </c>
      <c r="L82" s="223" t="s">
        <v>578</v>
      </c>
      <c r="M82" s="223" t="s">
        <v>533</v>
      </c>
      <c r="N82" s="223">
        <v>1.1619999999999999</v>
      </c>
      <c r="O82" s="226">
        <v>190000</v>
      </c>
      <c r="P82" s="3"/>
      <c r="Q82" s="407"/>
      <c r="R82" s="3"/>
      <c r="S82" s="3"/>
      <c r="T82" s="3"/>
      <c r="U82" s="3"/>
      <c r="V82" s="3"/>
      <c r="W82" s="3"/>
      <c r="X82" s="3"/>
      <c r="Y82" s="3"/>
      <c r="Z82" s="3"/>
      <c r="AA82" s="3"/>
      <c r="AB82" s="3"/>
      <c r="AC82" s="3"/>
      <c r="AD82" s="3"/>
      <c r="AE82" s="3"/>
      <c r="AF82" s="3"/>
    </row>
    <row r="83" spans="1:32" x14ac:dyDescent="0.45">
      <c r="A83" s="3"/>
      <c r="B83" s="132"/>
      <c r="C83" s="132" t="s">
        <v>486</v>
      </c>
      <c r="D83" s="132"/>
      <c r="E83" s="343"/>
      <c r="F83" s="379" t="s">
        <v>472</v>
      </c>
      <c r="G83" s="334"/>
      <c r="H83" s="334"/>
      <c r="I83" s="335"/>
      <c r="J83" s="3"/>
      <c r="K83" s="222" t="s">
        <v>470</v>
      </c>
      <c r="L83" s="223" t="s">
        <v>579</v>
      </c>
      <c r="M83" s="223" t="s">
        <v>540</v>
      </c>
      <c r="N83" s="223">
        <v>0.38500000000000001</v>
      </c>
      <c r="O83" s="226">
        <v>140000</v>
      </c>
      <c r="P83" s="3"/>
      <c r="Q83" s="407"/>
      <c r="R83" s="3"/>
      <c r="S83" s="3"/>
      <c r="T83" s="3"/>
      <c r="U83" s="3"/>
      <c r="V83" s="3"/>
      <c r="W83" s="3"/>
      <c r="X83" s="3"/>
      <c r="Y83" s="3"/>
      <c r="Z83" s="3"/>
      <c r="AA83" s="3"/>
      <c r="AB83" s="3"/>
      <c r="AC83" s="3"/>
      <c r="AD83" s="3"/>
      <c r="AE83" s="3"/>
      <c r="AF83" s="3"/>
    </row>
    <row r="84" spans="1:32" x14ac:dyDescent="0.45">
      <c r="A84" s="3"/>
      <c r="B84" s="334"/>
      <c r="C84" s="132" t="s">
        <v>490</v>
      </c>
      <c r="D84" s="132"/>
      <c r="E84" s="343"/>
      <c r="F84" s="379" t="s">
        <v>561</v>
      </c>
      <c r="G84" s="334"/>
      <c r="H84" s="334"/>
      <c r="I84" s="335"/>
      <c r="J84" s="3"/>
      <c r="K84" s="222" t="s">
        <v>470</v>
      </c>
      <c r="L84" s="223" t="s">
        <v>580</v>
      </c>
      <c r="M84" s="223" t="s">
        <v>540</v>
      </c>
      <c r="N84" s="223">
        <v>0.40100000000000002</v>
      </c>
      <c r="O84" s="226">
        <v>630000</v>
      </c>
      <c r="P84" s="3"/>
      <c r="Q84" s="407"/>
      <c r="R84" s="3"/>
      <c r="S84" s="3"/>
      <c r="T84" s="3"/>
      <c r="U84" s="3"/>
      <c r="V84" s="3"/>
      <c r="W84" s="3"/>
      <c r="X84" s="3"/>
      <c r="Y84" s="3"/>
      <c r="Z84" s="3"/>
      <c r="AA84" s="3"/>
      <c r="AB84" s="3"/>
      <c r="AC84" s="3"/>
      <c r="AD84" s="3"/>
      <c r="AE84" s="3"/>
      <c r="AF84" s="3"/>
    </row>
    <row r="85" spans="1:32" x14ac:dyDescent="0.45">
      <c r="A85" s="3"/>
      <c r="B85" s="132"/>
      <c r="C85" s="132" t="s">
        <v>494</v>
      </c>
      <c r="D85" s="334"/>
      <c r="E85" s="343"/>
      <c r="F85" s="379" t="s">
        <v>495</v>
      </c>
      <c r="G85" s="334"/>
      <c r="H85" s="334"/>
      <c r="I85" s="335"/>
      <c r="J85" s="3"/>
      <c r="K85" s="222" t="s">
        <v>470</v>
      </c>
      <c r="L85" s="223" t="s">
        <v>581</v>
      </c>
      <c r="M85" s="223" t="s">
        <v>533</v>
      </c>
      <c r="N85" s="223">
        <v>0.94199999999999995</v>
      </c>
      <c r="O85" s="226">
        <v>1680000</v>
      </c>
      <c r="P85" s="3"/>
      <c r="Q85" s="407"/>
      <c r="R85" s="3"/>
      <c r="S85" s="3"/>
      <c r="T85" s="3"/>
      <c r="U85" s="3"/>
      <c r="V85" s="3"/>
      <c r="W85" s="3"/>
      <c r="X85" s="3"/>
      <c r="Y85" s="3"/>
      <c r="Z85" s="3"/>
      <c r="AA85" s="3"/>
      <c r="AB85" s="3"/>
      <c r="AC85" s="3"/>
      <c r="AD85" s="3"/>
      <c r="AE85" s="3"/>
      <c r="AF85" s="3"/>
    </row>
    <row r="86" spans="1:32" x14ac:dyDescent="0.45">
      <c r="A86" s="3"/>
      <c r="B86" s="334"/>
      <c r="C86" s="336"/>
      <c r="D86" s="334"/>
      <c r="E86" s="336"/>
      <c r="F86" s="374"/>
      <c r="G86" s="334"/>
      <c r="H86" s="334"/>
      <c r="I86" s="335"/>
      <c r="J86" s="3"/>
      <c r="K86" s="222" t="s">
        <v>470</v>
      </c>
      <c r="L86" s="223" t="s">
        <v>582</v>
      </c>
      <c r="M86" s="223" t="s">
        <v>538</v>
      </c>
      <c r="N86" s="223">
        <v>0</v>
      </c>
      <c r="O86" s="226">
        <v>81000</v>
      </c>
      <c r="P86" s="3"/>
      <c r="Q86" s="407"/>
      <c r="R86" s="3"/>
      <c r="S86" s="3"/>
      <c r="T86" s="3"/>
      <c r="U86" s="3"/>
      <c r="V86" s="3"/>
      <c r="W86" s="3"/>
      <c r="X86" s="3"/>
      <c r="Y86" s="3"/>
      <c r="Z86" s="3"/>
      <c r="AA86" s="3"/>
      <c r="AB86" s="3"/>
      <c r="AC86" s="3"/>
      <c r="AD86" s="3"/>
      <c r="AE86" s="3"/>
      <c r="AF86" s="3"/>
    </row>
    <row r="87" spans="1:32" x14ac:dyDescent="0.45">
      <c r="A87" s="3"/>
      <c r="B87" s="334" t="s">
        <v>586</v>
      </c>
      <c r="C87" s="343">
        <f>(C76*C77*C78)*10^-3</f>
        <v>3.2338823999999988E-3</v>
      </c>
      <c r="D87" s="334"/>
      <c r="E87" s="336"/>
      <c r="F87" s="379" t="s">
        <v>173</v>
      </c>
      <c r="G87" s="334"/>
      <c r="H87" s="334"/>
      <c r="I87" s="335"/>
      <c r="J87" s="3"/>
      <c r="K87" s="222" t="s">
        <v>470</v>
      </c>
      <c r="L87" s="223" t="s">
        <v>583</v>
      </c>
      <c r="M87" s="223" t="s">
        <v>533</v>
      </c>
      <c r="N87" s="223">
        <v>0.90200000000000002</v>
      </c>
      <c r="O87" s="226">
        <v>750000</v>
      </c>
      <c r="P87" s="3"/>
      <c r="Q87" s="407"/>
      <c r="R87" s="3"/>
      <c r="S87" s="3"/>
      <c r="T87" s="3"/>
      <c r="U87" s="3"/>
      <c r="V87" s="3"/>
      <c r="W87" s="3"/>
      <c r="X87" s="3"/>
      <c r="Y87" s="3"/>
      <c r="Z87" s="3"/>
      <c r="AA87" s="3"/>
      <c r="AB87" s="3"/>
      <c r="AC87" s="3"/>
      <c r="AD87" s="3"/>
      <c r="AE87" s="3"/>
      <c r="AF87" s="3"/>
    </row>
    <row r="88" spans="1:32" x14ac:dyDescent="0.45">
      <c r="A88" s="3"/>
      <c r="B88" s="334" t="s">
        <v>588</v>
      </c>
      <c r="C88" s="343">
        <f>(C76*C77*C79)*10^-3</f>
        <v>3.2338823999999988E-3</v>
      </c>
      <c r="D88" s="132"/>
      <c r="E88" s="343"/>
      <c r="F88" s="379" t="s">
        <v>173</v>
      </c>
      <c r="G88" s="334"/>
      <c r="H88" s="334"/>
      <c r="I88" s="335"/>
      <c r="J88" s="3"/>
      <c r="K88" s="222" t="s">
        <v>470</v>
      </c>
      <c r="L88" s="223" t="s">
        <v>584</v>
      </c>
      <c r="M88" s="223" t="s">
        <v>548</v>
      </c>
      <c r="N88" s="223">
        <v>0.89600000000000002</v>
      </c>
      <c r="O88" s="226">
        <v>34000</v>
      </c>
      <c r="P88" s="3"/>
      <c r="Q88" s="407"/>
      <c r="R88" s="3"/>
      <c r="S88" s="3"/>
      <c r="T88" s="3"/>
      <c r="U88" s="3"/>
      <c r="V88" s="3"/>
      <c r="W88" s="3"/>
      <c r="X88" s="3"/>
      <c r="Y88" s="3"/>
      <c r="Z88" s="3"/>
      <c r="AA88" s="3"/>
      <c r="AB88" s="3"/>
      <c r="AC88" s="3"/>
      <c r="AD88" s="3"/>
      <c r="AE88" s="3"/>
      <c r="AF88" s="3"/>
    </row>
    <row r="89" spans="1:32" x14ac:dyDescent="0.45">
      <c r="A89" s="3"/>
      <c r="B89" s="334"/>
      <c r="C89" s="336"/>
      <c r="D89" s="334"/>
      <c r="E89" s="336"/>
      <c r="F89" s="374"/>
      <c r="G89" s="334"/>
      <c r="H89" s="334"/>
      <c r="I89" s="335"/>
      <c r="J89" s="3"/>
      <c r="K89" s="222" t="s">
        <v>470</v>
      </c>
      <c r="L89" s="223" t="s">
        <v>585</v>
      </c>
      <c r="M89" s="223" t="s">
        <v>533</v>
      </c>
      <c r="N89" s="223">
        <v>0.89800000000000002</v>
      </c>
      <c r="O89" s="226">
        <v>851000</v>
      </c>
      <c r="P89" s="3"/>
      <c r="Q89" s="3"/>
      <c r="R89" s="3"/>
      <c r="S89" s="3"/>
      <c r="T89" s="3"/>
      <c r="U89" s="3"/>
      <c r="V89" s="3"/>
      <c r="W89" s="3"/>
      <c r="X89" s="3"/>
      <c r="Y89" s="3"/>
      <c r="Z89" s="3"/>
      <c r="AA89" s="3"/>
      <c r="AB89" s="3"/>
      <c r="AC89" s="3"/>
      <c r="AD89" s="3"/>
      <c r="AE89" s="3"/>
      <c r="AF89" s="3"/>
    </row>
    <row r="90" spans="1:32" x14ac:dyDescent="0.45">
      <c r="A90" s="3"/>
      <c r="B90" s="334" t="s">
        <v>449</v>
      </c>
      <c r="C90" s="336">
        <f>C87+C71</f>
        <v>0.1418078824</v>
      </c>
      <c r="D90" s="355"/>
      <c r="E90" s="336"/>
      <c r="F90" s="374" t="s">
        <v>173</v>
      </c>
      <c r="G90" s="334"/>
      <c r="H90" s="334"/>
      <c r="I90" s="335"/>
      <c r="J90" s="3"/>
      <c r="K90" s="222" t="s">
        <v>470</v>
      </c>
      <c r="L90" s="223" t="s">
        <v>587</v>
      </c>
      <c r="M90" s="223" t="s">
        <v>548</v>
      </c>
      <c r="N90" s="223">
        <v>0.83599999999999997</v>
      </c>
      <c r="O90" s="226">
        <v>418000</v>
      </c>
      <c r="P90" s="3"/>
      <c r="Q90" s="3"/>
      <c r="R90" s="3"/>
      <c r="S90" s="3"/>
      <c r="T90" s="3"/>
      <c r="U90" s="3"/>
      <c r="V90" s="3"/>
      <c r="W90" s="3"/>
      <c r="X90" s="3"/>
      <c r="Y90" s="3"/>
      <c r="Z90" s="3"/>
      <c r="AA90" s="3"/>
      <c r="AB90" s="3"/>
      <c r="AC90" s="3"/>
      <c r="AD90" s="3"/>
      <c r="AE90" s="3"/>
      <c r="AF90" s="3"/>
    </row>
    <row r="91" spans="1:32" x14ac:dyDescent="0.45">
      <c r="A91" s="3"/>
      <c r="B91" s="133" t="s">
        <v>315</v>
      </c>
      <c r="C91" s="330">
        <f>C88+C72</f>
        <v>0.2803818824</v>
      </c>
      <c r="D91" s="354"/>
      <c r="E91" s="134"/>
      <c r="F91" s="422" t="s">
        <v>173</v>
      </c>
      <c r="G91" s="134"/>
      <c r="H91" s="134"/>
      <c r="I91" s="356"/>
      <c r="J91" s="3"/>
      <c r="K91" s="222" t="s">
        <v>470</v>
      </c>
      <c r="L91" s="223" t="s">
        <v>589</v>
      </c>
      <c r="M91" s="223" t="s">
        <v>540</v>
      </c>
      <c r="N91" s="223">
        <v>0.56699999999999995</v>
      </c>
      <c r="O91" s="226">
        <v>282000</v>
      </c>
      <c r="P91" s="3"/>
      <c r="Q91" s="3"/>
      <c r="R91" s="3"/>
      <c r="S91" s="3"/>
      <c r="T91" s="3"/>
      <c r="U91" s="3"/>
      <c r="V91" s="3"/>
      <c r="W91" s="3"/>
      <c r="X91" s="3"/>
      <c r="Y91" s="3"/>
      <c r="Z91" s="3"/>
      <c r="AA91" s="3"/>
      <c r="AB91" s="3"/>
      <c r="AC91" s="3"/>
      <c r="AD91" s="3"/>
      <c r="AE91" s="3"/>
      <c r="AF91" s="3"/>
    </row>
    <row r="92" spans="1:32" x14ac:dyDescent="0.45">
      <c r="A92" s="3"/>
      <c r="B92" s="3"/>
      <c r="C92" s="3"/>
      <c r="D92" s="3"/>
      <c r="E92" s="3"/>
      <c r="F92" s="3"/>
      <c r="G92" s="3"/>
      <c r="H92" s="3"/>
      <c r="I92" s="3"/>
      <c r="J92" s="3"/>
      <c r="K92" s="222" t="s">
        <v>470</v>
      </c>
      <c r="L92" s="223" t="s">
        <v>590</v>
      </c>
      <c r="M92" s="223" t="s">
        <v>540</v>
      </c>
      <c r="N92" s="223">
        <v>0.61599999999999999</v>
      </c>
      <c r="O92" s="226">
        <v>80000</v>
      </c>
      <c r="P92" s="3"/>
      <c r="Q92" s="3"/>
      <c r="R92" s="3"/>
      <c r="S92" s="3"/>
      <c r="T92" s="3"/>
      <c r="U92" s="3"/>
      <c r="V92" s="3"/>
      <c r="W92" s="3"/>
      <c r="X92" s="3"/>
      <c r="Y92" s="3"/>
      <c r="Z92" s="3"/>
      <c r="AA92" s="3"/>
      <c r="AB92" s="3"/>
      <c r="AC92" s="3"/>
      <c r="AD92" s="3"/>
      <c r="AE92" s="3"/>
      <c r="AF92" s="3"/>
    </row>
    <row r="93" spans="1:32" x14ac:dyDescent="0.45">
      <c r="A93" s="3"/>
      <c r="B93" s="22" t="s">
        <v>594</v>
      </c>
      <c r="C93" s="3"/>
      <c r="D93" s="3"/>
      <c r="E93" s="3"/>
      <c r="F93" s="3"/>
      <c r="G93" s="3"/>
      <c r="H93" s="3"/>
      <c r="I93" s="3"/>
      <c r="J93" s="3"/>
      <c r="K93" s="222" t="s">
        <v>470</v>
      </c>
      <c r="L93" s="223" t="s">
        <v>591</v>
      </c>
      <c r="M93" s="223" t="s">
        <v>533</v>
      </c>
      <c r="N93" s="223">
        <v>0.89400000000000002</v>
      </c>
      <c r="O93" s="226">
        <v>1440000</v>
      </c>
      <c r="P93" s="3"/>
      <c r="Q93" s="3"/>
      <c r="R93" s="3"/>
      <c r="S93" s="3"/>
      <c r="T93" s="3"/>
      <c r="U93" s="3"/>
      <c r="V93" s="3"/>
      <c r="W93" s="3"/>
      <c r="X93" s="3"/>
      <c r="Y93" s="3"/>
      <c r="Z93" s="3"/>
      <c r="AA93" s="3"/>
      <c r="AB93" s="3"/>
      <c r="AC93" s="3"/>
      <c r="AD93" s="3"/>
      <c r="AE93" s="3"/>
      <c r="AF93" s="3"/>
    </row>
    <row r="94" spans="1:32" x14ac:dyDescent="0.45">
      <c r="A94" s="3"/>
      <c r="B94" s="3" t="s">
        <v>596</v>
      </c>
      <c r="C94" s="3"/>
      <c r="D94" s="3"/>
      <c r="E94" s="3"/>
      <c r="F94" s="3"/>
      <c r="G94" s="3"/>
      <c r="H94" s="3"/>
      <c r="I94" s="3"/>
      <c r="J94" s="3"/>
      <c r="K94" s="222" t="s">
        <v>470</v>
      </c>
      <c r="L94" s="223" t="s">
        <v>592</v>
      </c>
      <c r="M94" s="223" t="s">
        <v>533</v>
      </c>
      <c r="N94" s="223">
        <v>1.0669999999999999</v>
      </c>
      <c r="O94" s="226">
        <v>480000</v>
      </c>
      <c r="P94" s="3"/>
      <c r="Q94" s="3"/>
      <c r="R94" s="3"/>
      <c r="S94" s="3"/>
      <c r="T94" s="3"/>
      <c r="U94" s="3"/>
      <c r="V94" s="3"/>
      <c r="W94" s="3"/>
      <c r="X94" s="3"/>
      <c r="Y94" s="3"/>
      <c r="Z94" s="3"/>
      <c r="AA94" s="3"/>
      <c r="AB94" s="3"/>
      <c r="AC94" s="3"/>
      <c r="AD94" s="3"/>
      <c r="AE94" s="3"/>
      <c r="AF94" s="3"/>
    </row>
    <row r="95" spans="1:32" x14ac:dyDescent="0.45">
      <c r="A95" s="3"/>
      <c r="B95" s="3" t="s">
        <v>598</v>
      </c>
      <c r="C95" s="3"/>
      <c r="D95" s="3"/>
      <c r="E95" s="3"/>
      <c r="F95" s="3"/>
      <c r="G95" s="3"/>
      <c r="H95" s="3"/>
      <c r="I95" s="3"/>
      <c r="J95" s="3"/>
      <c r="K95" s="222" t="s">
        <v>470</v>
      </c>
      <c r="L95" s="223" t="s">
        <v>593</v>
      </c>
      <c r="M95" s="223" t="s">
        <v>540</v>
      </c>
      <c r="N95" s="223">
        <v>0.39300000000000002</v>
      </c>
      <c r="O95" s="226">
        <v>385000</v>
      </c>
      <c r="P95" s="3"/>
      <c r="Q95" s="3"/>
      <c r="R95" s="3"/>
      <c r="S95" s="3"/>
      <c r="T95" s="3"/>
      <c r="U95" s="3"/>
      <c r="V95" s="3"/>
      <c r="W95" s="3"/>
      <c r="X95" s="3"/>
      <c r="Y95" s="3"/>
      <c r="Z95" s="3"/>
      <c r="AA95" s="3"/>
      <c r="AB95" s="3"/>
      <c r="AC95" s="3"/>
      <c r="AD95" s="3"/>
      <c r="AE95" s="3"/>
      <c r="AF95" s="3"/>
    </row>
    <row r="96" spans="1:32" x14ac:dyDescent="0.45">
      <c r="A96" s="3"/>
      <c r="B96" s="3" t="s">
        <v>600</v>
      </c>
      <c r="C96" s="3"/>
      <c r="D96" s="3"/>
      <c r="E96" s="3"/>
      <c r="F96" s="3"/>
      <c r="G96" s="3"/>
      <c r="H96" s="3"/>
      <c r="I96" s="3"/>
      <c r="J96" s="3"/>
      <c r="K96" s="222" t="s">
        <v>470</v>
      </c>
      <c r="L96" s="223" t="s">
        <v>595</v>
      </c>
      <c r="M96" s="223" t="s">
        <v>533</v>
      </c>
      <c r="N96" s="223">
        <v>0.91600000000000004</v>
      </c>
      <c r="O96" s="226">
        <v>1400000</v>
      </c>
      <c r="P96" s="3"/>
      <c r="Q96" s="3"/>
      <c r="R96" s="3"/>
      <c r="S96" s="3"/>
      <c r="T96" s="3"/>
      <c r="U96" s="3"/>
      <c r="V96" s="3"/>
      <c r="W96" s="3"/>
      <c r="X96" s="3"/>
      <c r="Y96" s="3"/>
      <c r="Z96" s="3"/>
      <c r="AA96" s="3"/>
      <c r="AB96" s="3"/>
      <c r="AC96" s="3"/>
      <c r="AD96" s="3"/>
      <c r="AE96" s="3"/>
      <c r="AF96" s="3"/>
    </row>
    <row r="97" spans="1:32" x14ac:dyDescent="0.45">
      <c r="A97" s="3"/>
      <c r="B97" s="3" t="s">
        <v>602</v>
      </c>
      <c r="C97" s="3"/>
      <c r="D97" s="3"/>
      <c r="E97" s="3"/>
      <c r="F97" s="3"/>
      <c r="G97" s="3"/>
      <c r="H97" s="3"/>
      <c r="I97" s="3"/>
      <c r="J97" s="3"/>
      <c r="K97" s="222" t="s">
        <v>470</v>
      </c>
      <c r="L97" s="223" t="s">
        <v>597</v>
      </c>
      <c r="M97" s="223" t="s">
        <v>533</v>
      </c>
      <c r="N97" s="223">
        <v>0.84599999999999997</v>
      </c>
      <c r="O97" s="226">
        <v>443000</v>
      </c>
      <c r="P97" s="3"/>
      <c r="Q97" s="3"/>
      <c r="R97" s="3"/>
      <c r="S97" s="3"/>
      <c r="T97" s="3"/>
      <c r="U97" s="3"/>
      <c r="V97" s="3"/>
      <c r="W97" s="3"/>
      <c r="X97" s="3"/>
      <c r="Y97" s="3"/>
      <c r="Z97" s="3"/>
      <c r="AA97" s="3"/>
      <c r="AB97" s="3"/>
      <c r="AC97" s="3"/>
      <c r="AD97" s="3"/>
      <c r="AE97" s="3"/>
      <c r="AF97" s="3"/>
    </row>
    <row r="98" spans="1:32" x14ac:dyDescent="0.45">
      <c r="A98" s="3"/>
      <c r="B98" s="3"/>
      <c r="C98" s="3"/>
      <c r="D98" s="3"/>
      <c r="E98" s="3"/>
      <c r="F98" s="3"/>
      <c r="G98" s="3"/>
      <c r="H98" s="3"/>
      <c r="I98" s="3"/>
      <c r="J98" s="3"/>
      <c r="K98" s="222" t="s">
        <v>470</v>
      </c>
      <c r="L98" s="223" t="s">
        <v>599</v>
      </c>
      <c r="M98" s="223" t="s">
        <v>540</v>
      </c>
      <c r="N98" s="223">
        <v>0.40100000000000002</v>
      </c>
      <c r="O98" s="226">
        <v>240000</v>
      </c>
      <c r="P98" s="3"/>
      <c r="Q98" s="3"/>
      <c r="R98" s="3"/>
      <c r="S98" s="3"/>
      <c r="T98" s="3"/>
      <c r="U98" s="3"/>
      <c r="V98" s="3"/>
      <c r="W98" s="3"/>
      <c r="X98" s="3"/>
      <c r="Y98" s="3"/>
      <c r="Z98" s="3"/>
      <c r="AA98" s="3"/>
      <c r="AB98" s="3"/>
      <c r="AC98" s="3"/>
      <c r="AD98" s="3"/>
      <c r="AE98" s="3"/>
      <c r="AF98" s="3"/>
    </row>
    <row r="99" spans="1:32" x14ac:dyDescent="0.45">
      <c r="A99" s="3"/>
      <c r="B99" s="3"/>
      <c r="C99" s="3"/>
      <c r="D99" s="3"/>
      <c r="E99" s="3"/>
      <c r="F99" s="3"/>
      <c r="G99" s="3"/>
      <c r="H99" s="3"/>
      <c r="I99" s="3"/>
      <c r="J99" s="3"/>
      <c r="K99" s="222" t="s">
        <v>470</v>
      </c>
      <c r="L99" s="223" t="s">
        <v>601</v>
      </c>
      <c r="M99" s="223" t="s">
        <v>538</v>
      </c>
      <c r="N99" s="223">
        <v>0</v>
      </c>
      <c r="O99" s="226">
        <v>500000</v>
      </c>
      <c r="P99" s="3"/>
      <c r="Q99" s="3"/>
      <c r="R99" s="3"/>
      <c r="S99" s="3"/>
      <c r="T99" s="3"/>
      <c r="U99" s="3"/>
      <c r="V99" s="3"/>
      <c r="W99" s="3"/>
      <c r="X99" s="3"/>
      <c r="Y99" s="3"/>
      <c r="Z99" s="3"/>
      <c r="AA99" s="3"/>
      <c r="AB99" s="3"/>
      <c r="AC99" s="3"/>
      <c r="AD99" s="3"/>
      <c r="AE99" s="3"/>
      <c r="AF99" s="3"/>
    </row>
    <row r="100" spans="1:32" x14ac:dyDescent="0.45">
      <c r="A100" s="3"/>
      <c r="B100" s="3"/>
      <c r="C100" s="3"/>
      <c r="D100" s="3"/>
      <c r="E100" s="3"/>
      <c r="F100" s="3"/>
      <c r="G100" s="3"/>
      <c r="H100" s="3"/>
      <c r="I100" s="3"/>
      <c r="J100" s="3"/>
      <c r="K100" s="222" t="s">
        <v>470</v>
      </c>
      <c r="L100" s="223" t="s">
        <v>603</v>
      </c>
      <c r="M100" s="223" t="s">
        <v>535</v>
      </c>
      <c r="N100" s="223">
        <v>0</v>
      </c>
      <c r="O100" s="226">
        <v>480000</v>
      </c>
      <c r="P100" s="3"/>
      <c r="Q100" s="3"/>
      <c r="R100" s="3"/>
      <c r="S100" s="3"/>
      <c r="T100" s="3"/>
      <c r="U100" s="3"/>
      <c r="V100" s="3"/>
      <c r="W100" s="3"/>
      <c r="X100" s="3"/>
      <c r="Y100" s="3"/>
      <c r="Z100" s="3"/>
      <c r="AA100" s="3"/>
      <c r="AB100" s="3"/>
      <c r="AC100" s="3"/>
      <c r="AD100" s="3"/>
      <c r="AE100" s="3"/>
      <c r="AF100" s="3"/>
    </row>
    <row r="101" spans="1:32" x14ac:dyDescent="0.45">
      <c r="A101" s="3"/>
      <c r="B101" s="3"/>
      <c r="C101" s="3"/>
      <c r="D101" s="3"/>
      <c r="E101" s="3"/>
      <c r="F101" s="3"/>
      <c r="G101" s="3"/>
      <c r="H101" s="3"/>
      <c r="I101" s="3"/>
      <c r="J101" s="3"/>
      <c r="K101" s="222" t="s">
        <v>470</v>
      </c>
      <c r="L101" s="223" t="s">
        <v>604</v>
      </c>
      <c r="M101" s="223" t="s">
        <v>540</v>
      </c>
      <c r="N101" s="223">
        <v>0.54300000000000004</v>
      </c>
      <c r="O101" s="226">
        <v>168000</v>
      </c>
      <c r="P101" s="3"/>
      <c r="Q101" s="3"/>
      <c r="R101" s="3"/>
      <c r="S101" s="3"/>
      <c r="T101" s="3"/>
      <c r="U101" s="3"/>
      <c r="V101" s="3"/>
      <c r="W101" s="3"/>
      <c r="X101" s="3"/>
      <c r="Y101" s="3"/>
      <c r="Z101" s="3"/>
      <c r="AA101" s="3"/>
      <c r="AB101" s="3"/>
      <c r="AC101" s="3"/>
      <c r="AD101" s="3"/>
      <c r="AE101" s="3"/>
      <c r="AF101" s="3"/>
    </row>
    <row r="102" spans="1:32" x14ac:dyDescent="0.45">
      <c r="A102" s="3"/>
      <c r="B102" s="3"/>
      <c r="C102" s="3"/>
      <c r="D102" s="3"/>
      <c r="E102" s="3"/>
      <c r="F102" s="3"/>
      <c r="G102" s="3"/>
      <c r="H102" s="3"/>
      <c r="I102" s="3"/>
      <c r="J102" s="3"/>
      <c r="K102" s="222" t="s">
        <v>53</v>
      </c>
      <c r="L102" s="223" t="s">
        <v>605</v>
      </c>
      <c r="M102" s="223" t="s">
        <v>548</v>
      </c>
      <c r="N102" s="223">
        <v>0.94</v>
      </c>
      <c r="O102" s="226">
        <v>50000</v>
      </c>
      <c r="P102" s="3"/>
      <c r="Q102" s="3"/>
      <c r="R102" s="3"/>
      <c r="S102" s="3"/>
      <c r="T102" s="3"/>
      <c r="U102" s="3"/>
      <c r="V102" s="3"/>
      <c r="W102" s="3"/>
      <c r="X102" s="3"/>
      <c r="Y102" s="3"/>
      <c r="Z102" s="3"/>
      <c r="AA102" s="3"/>
      <c r="AB102" s="3"/>
      <c r="AC102" s="3"/>
      <c r="AD102" s="3"/>
      <c r="AE102" s="3"/>
      <c r="AF102" s="3"/>
    </row>
    <row r="103" spans="1:32" x14ac:dyDescent="0.45">
      <c r="A103" s="3"/>
      <c r="B103" s="3"/>
      <c r="C103" s="3"/>
      <c r="D103" s="3"/>
      <c r="E103" s="3"/>
      <c r="F103" s="3"/>
      <c r="G103" s="3"/>
      <c r="H103" s="3"/>
      <c r="I103" s="3"/>
      <c r="J103" s="3"/>
      <c r="K103" s="222" t="s">
        <v>53</v>
      </c>
      <c r="L103" s="223" t="s">
        <v>606</v>
      </c>
      <c r="M103" s="223" t="s">
        <v>544</v>
      </c>
      <c r="N103" s="223">
        <v>0</v>
      </c>
      <c r="O103" s="226">
        <v>53000</v>
      </c>
      <c r="P103" s="3"/>
      <c r="Q103" s="3"/>
      <c r="R103" s="3"/>
      <c r="S103" s="3"/>
      <c r="T103" s="3"/>
      <c r="U103" s="3"/>
      <c r="V103" s="3"/>
      <c r="W103" s="3"/>
      <c r="X103" s="3"/>
      <c r="Y103" s="3"/>
      <c r="Z103" s="3"/>
      <c r="AA103" s="3"/>
      <c r="AB103" s="3"/>
      <c r="AC103" s="3"/>
      <c r="AD103" s="3"/>
      <c r="AE103" s="3"/>
      <c r="AF103" s="3"/>
    </row>
    <row r="104" spans="1:32" x14ac:dyDescent="0.45">
      <c r="A104" s="3"/>
      <c r="B104" s="3"/>
      <c r="C104" s="3"/>
      <c r="D104" s="3"/>
      <c r="E104" s="3"/>
      <c r="F104" s="3"/>
      <c r="G104" s="3"/>
      <c r="H104" s="3"/>
      <c r="I104" s="3"/>
      <c r="J104" s="3"/>
      <c r="K104" s="222" t="s">
        <v>53</v>
      </c>
      <c r="L104" s="223" t="s">
        <v>607</v>
      </c>
      <c r="M104" s="223" t="s">
        <v>544</v>
      </c>
      <c r="N104" s="223">
        <v>0</v>
      </c>
      <c r="O104" s="226">
        <v>57000</v>
      </c>
      <c r="P104" s="3"/>
      <c r="Q104" s="3"/>
      <c r="R104" s="3"/>
      <c r="S104" s="3"/>
      <c r="T104" s="3"/>
      <c r="U104" s="3"/>
      <c r="V104" s="3"/>
      <c r="W104" s="3"/>
      <c r="X104" s="3"/>
      <c r="Y104" s="3"/>
      <c r="Z104" s="3"/>
      <c r="AA104" s="3"/>
      <c r="AB104" s="3"/>
      <c r="AC104" s="3"/>
      <c r="AD104" s="3"/>
      <c r="AE104" s="3"/>
      <c r="AF104" s="3"/>
    </row>
    <row r="105" spans="1:32" x14ac:dyDescent="0.45">
      <c r="A105" s="3"/>
      <c r="B105" s="3"/>
      <c r="C105" s="3"/>
      <c r="D105" s="3"/>
      <c r="E105" s="3"/>
      <c r="F105" s="3"/>
      <c r="G105" s="3"/>
      <c r="H105" s="3"/>
      <c r="I105" s="3"/>
      <c r="J105" s="3"/>
      <c r="K105" s="222" t="s">
        <v>53</v>
      </c>
      <c r="L105" s="223" t="s">
        <v>608</v>
      </c>
      <c r="M105" s="223" t="s">
        <v>540</v>
      </c>
      <c r="N105" s="223">
        <v>0.71</v>
      </c>
      <c r="O105" s="226">
        <v>156000</v>
      </c>
      <c r="P105" s="3"/>
      <c r="Q105" s="3"/>
      <c r="R105" s="3"/>
      <c r="S105" s="3"/>
      <c r="T105" s="3"/>
      <c r="U105" s="3"/>
      <c r="V105" s="3"/>
      <c r="W105" s="3"/>
      <c r="X105" s="3"/>
      <c r="Y105" s="3"/>
      <c r="Z105" s="3"/>
      <c r="AA105" s="3"/>
      <c r="AB105" s="3"/>
      <c r="AC105" s="3"/>
      <c r="AD105" s="3"/>
      <c r="AE105" s="3"/>
      <c r="AF105" s="3"/>
    </row>
    <row r="106" spans="1:32" x14ac:dyDescent="0.45">
      <c r="A106" s="3"/>
      <c r="B106" s="3"/>
      <c r="C106" s="3"/>
      <c r="D106" s="3"/>
      <c r="E106" s="3"/>
      <c r="F106" s="3"/>
      <c r="G106" s="3"/>
      <c r="H106" s="3"/>
      <c r="I106" s="3"/>
      <c r="J106" s="3"/>
      <c r="K106" s="222" t="s">
        <v>53</v>
      </c>
      <c r="L106" s="223" t="s">
        <v>609</v>
      </c>
      <c r="M106" s="223" t="s">
        <v>540</v>
      </c>
      <c r="N106" s="223">
        <v>0.77</v>
      </c>
      <c r="O106" s="226">
        <v>200000</v>
      </c>
      <c r="P106" s="3"/>
      <c r="Q106" s="3"/>
      <c r="R106" s="3"/>
      <c r="S106" s="3"/>
      <c r="T106" s="3"/>
      <c r="U106" s="3"/>
      <c r="V106" s="3"/>
      <c r="W106" s="3"/>
      <c r="X106" s="3"/>
      <c r="Y106" s="3"/>
      <c r="Z106" s="3"/>
      <c r="AA106" s="3"/>
      <c r="AB106" s="3"/>
      <c r="AC106" s="3"/>
      <c r="AD106" s="3"/>
      <c r="AE106" s="3"/>
      <c r="AF106" s="3"/>
    </row>
    <row r="107" spans="1:32" x14ac:dyDescent="0.45">
      <c r="A107" s="3"/>
      <c r="B107" s="3"/>
      <c r="C107" s="3"/>
      <c r="D107" s="3"/>
      <c r="E107" s="3"/>
      <c r="F107" s="3"/>
      <c r="G107" s="3"/>
      <c r="H107" s="3"/>
      <c r="I107" s="3"/>
      <c r="J107" s="3"/>
      <c r="K107" s="222" t="s">
        <v>53</v>
      </c>
      <c r="L107" s="223" t="s">
        <v>610</v>
      </c>
      <c r="M107" s="223" t="s">
        <v>544</v>
      </c>
      <c r="N107" s="223">
        <v>0</v>
      </c>
      <c r="O107" s="226">
        <v>71000</v>
      </c>
      <c r="P107" s="3"/>
      <c r="Q107" s="3"/>
      <c r="R107" s="3"/>
      <c r="S107" s="3"/>
      <c r="T107" s="3"/>
      <c r="U107" s="3"/>
      <c r="V107" s="3"/>
      <c r="W107" s="3"/>
      <c r="X107" s="3"/>
      <c r="Y107" s="3"/>
      <c r="Z107" s="3"/>
      <c r="AA107" s="3"/>
      <c r="AB107" s="3"/>
      <c r="AC107" s="3"/>
      <c r="AD107" s="3"/>
      <c r="AE107" s="3"/>
      <c r="AF107" s="3"/>
    </row>
    <row r="108" spans="1:32" x14ac:dyDescent="0.45">
      <c r="A108" s="3"/>
      <c r="B108" s="3"/>
      <c r="C108" s="3"/>
      <c r="D108" s="3"/>
      <c r="E108" s="3"/>
      <c r="F108" s="3"/>
      <c r="G108" s="3"/>
      <c r="H108" s="3"/>
      <c r="I108" s="3"/>
      <c r="J108" s="3"/>
      <c r="K108" s="222" t="s">
        <v>53</v>
      </c>
      <c r="L108" s="223" t="s">
        <v>611</v>
      </c>
      <c r="M108" s="223" t="s">
        <v>544</v>
      </c>
      <c r="N108" s="223">
        <v>0</v>
      </c>
      <c r="O108" s="226">
        <v>95000</v>
      </c>
      <c r="P108" s="3"/>
      <c r="Q108" s="3"/>
      <c r="R108" s="3"/>
      <c r="S108" s="3"/>
      <c r="T108" s="3"/>
      <c r="U108" s="3"/>
      <c r="V108" s="3"/>
      <c r="W108" s="3"/>
      <c r="X108" s="3"/>
      <c r="Y108" s="3"/>
      <c r="Z108" s="3"/>
      <c r="AA108" s="3"/>
      <c r="AB108" s="3"/>
      <c r="AC108" s="3"/>
      <c r="AD108" s="3"/>
      <c r="AE108" s="3"/>
      <c r="AF108" s="3"/>
    </row>
    <row r="109" spans="1:32" x14ac:dyDescent="0.45">
      <c r="A109" s="3"/>
      <c r="B109" s="3"/>
      <c r="C109" s="3"/>
      <c r="D109" s="3"/>
      <c r="E109" s="3"/>
      <c r="F109" s="3"/>
      <c r="G109" s="3"/>
      <c r="H109" s="3"/>
      <c r="I109" s="3"/>
      <c r="J109" s="3"/>
      <c r="K109" s="222" t="s">
        <v>53</v>
      </c>
      <c r="L109" s="223" t="s">
        <v>612</v>
      </c>
      <c r="M109" s="223" t="s">
        <v>540</v>
      </c>
      <c r="N109" s="223">
        <v>0.61599999999999999</v>
      </c>
      <c r="O109" s="226">
        <v>80000</v>
      </c>
      <c r="P109" s="3"/>
      <c r="Q109" s="3"/>
      <c r="R109" s="3"/>
      <c r="S109" s="3"/>
      <c r="T109" s="3"/>
      <c r="U109" s="3"/>
      <c r="V109" s="3"/>
      <c r="W109" s="3"/>
      <c r="X109" s="3"/>
      <c r="Y109" s="3"/>
      <c r="Z109" s="3"/>
      <c r="AA109" s="3"/>
      <c r="AB109" s="3"/>
      <c r="AC109" s="3"/>
      <c r="AD109" s="3"/>
      <c r="AE109" s="3"/>
      <c r="AF109" s="3"/>
    </row>
    <row r="110" spans="1:32" x14ac:dyDescent="0.45">
      <c r="A110" s="3"/>
      <c r="B110" s="3"/>
      <c r="C110" s="3"/>
      <c r="D110" s="3"/>
      <c r="E110" s="3"/>
      <c r="F110" s="3"/>
      <c r="G110" s="3"/>
      <c r="H110" s="3"/>
      <c r="I110" s="3"/>
      <c r="J110" s="3"/>
      <c r="K110" s="222" t="s">
        <v>53</v>
      </c>
      <c r="L110" s="223" t="s">
        <v>613</v>
      </c>
      <c r="M110" s="223" t="s">
        <v>544</v>
      </c>
      <c r="N110" s="223">
        <v>0</v>
      </c>
      <c r="O110" s="226">
        <v>159000</v>
      </c>
      <c r="P110" s="3"/>
      <c r="Q110" s="3"/>
      <c r="R110" s="3"/>
      <c r="S110" s="3"/>
      <c r="T110" s="3"/>
      <c r="U110" s="3"/>
      <c r="V110" s="3"/>
      <c r="W110" s="3"/>
      <c r="X110" s="3"/>
      <c r="Y110" s="3"/>
      <c r="Z110" s="3"/>
      <c r="AA110" s="3"/>
      <c r="AB110" s="3"/>
      <c r="AC110" s="3"/>
      <c r="AD110" s="3"/>
      <c r="AE110" s="3"/>
      <c r="AF110" s="3"/>
    </row>
    <row r="111" spans="1:32" x14ac:dyDescent="0.45">
      <c r="A111" s="3"/>
      <c r="B111" s="3"/>
      <c r="C111" s="3"/>
      <c r="D111" s="3"/>
      <c r="E111" s="3"/>
      <c r="F111" s="3"/>
      <c r="G111" s="3"/>
      <c r="H111" s="3"/>
      <c r="I111" s="3"/>
      <c r="J111" s="3"/>
      <c r="K111" s="222" t="s">
        <v>53</v>
      </c>
      <c r="L111" s="223" t="s">
        <v>614</v>
      </c>
      <c r="M111" s="223" t="s">
        <v>544</v>
      </c>
      <c r="N111" s="223">
        <v>0</v>
      </c>
      <c r="O111" s="226">
        <v>39000</v>
      </c>
      <c r="P111" s="3"/>
      <c r="Q111" s="3"/>
      <c r="R111" s="3"/>
      <c r="S111" s="3"/>
      <c r="T111" s="3"/>
      <c r="U111" s="3"/>
      <c r="V111" s="3"/>
      <c r="W111" s="3"/>
      <c r="X111" s="3"/>
      <c r="Y111" s="3"/>
      <c r="Z111" s="3"/>
      <c r="AA111" s="3"/>
      <c r="AB111" s="3"/>
      <c r="AC111" s="3"/>
      <c r="AD111" s="3"/>
      <c r="AE111" s="3"/>
      <c r="AF111" s="3"/>
    </row>
    <row r="112" spans="1:32" x14ac:dyDescent="0.45">
      <c r="A112" s="3"/>
      <c r="B112" s="3"/>
      <c r="C112" s="3"/>
      <c r="D112" s="3"/>
      <c r="E112" s="3"/>
      <c r="F112" s="3"/>
      <c r="G112" s="3"/>
      <c r="H112" s="3"/>
      <c r="I112" s="3"/>
      <c r="J112" s="3"/>
      <c r="K112" s="222" t="s">
        <v>53</v>
      </c>
      <c r="L112" s="223" t="s">
        <v>615</v>
      </c>
      <c r="M112" s="223" t="s">
        <v>540</v>
      </c>
      <c r="N112" s="223">
        <v>0.66</v>
      </c>
      <c r="O112" s="226">
        <v>90000</v>
      </c>
      <c r="P112" s="3"/>
      <c r="Q112" s="3"/>
      <c r="R112" s="3"/>
      <c r="S112" s="3"/>
      <c r="T112" s="3"/>
      <c r="U112" s="3"/>
      <c r="V112" s="3"/>
      <c r="W112" s="3"/>
      <c r="X112" s="3"/>
      <c r="Y112" s="3"/>
      <c r="Z112" s="3"/>
      <c r="AA112" s="3"/>
      <c r="AB112" s="3"/>
      <c r="AC112" s="3"/>
      <c r="AD112" s="3"/>
      <c r="AE112" s="3"/>
      <c r="AF112" s="3"/>
    </row>
    <row r="113" spans="1:32" x14ac:dyDescent="0.45">
      <c r="A113" s="3"/>
      <c r="B113" s="3"/>
      <c r="C113" s="3"/>
      <c r="D113" s="3"/>
      <c r="E113" s="3"/>
      <c r="F113" s="3"/>
      <c r="G113" s="3"/>
      <c r="H113" s="3"/>
      <c r="I113" s="3"/>
      <c r="J113" s="3"/>
      <c r="K113" s="222" t="s">
        <v>53</v>
      </c>
      <c r="L113" s="223" t="s">
        <v>616</v>
      </c>
      <c r="M113" s="223" t="s">
        <v>544</v>
      </c>
      <c r="N113" s="223">
        <v>0</v>
      </c>
      <c r="O113" s="226">
        <v>132000</v>
      </c>
      <c r="P113" s="3"/>
      <c r="Q113" s="3"/>
      <c r="R113" s="3"/>
      <c r="S113" s="3"/>
      <c r="T113" s="3"/>
      <c r="U113" s="3"/>
      <c r="V113" s="3"/>
      <c r="W113" s="3"/>
      <c r="X113" s="3"/>
      <c r="Y113" s="3"/>
      <c r="Z113" s="3"/>
      <c r="AA113" s="3"/>
      <c r="AB113" s="3"/>
      <c r="AC113" s="3"/>
      <c r="AD113" s="3"/>
      <c r="AE113" s="3"/>
      <c r="AF113" s="3"/>
    </row>
    <row r="114" spans="1:32" x14ac:dyDescent="0.45">
      <c r="A114" s="3"/>
      <c r="B114" s="3"/>
      <c r="C114" s="3"/>
      <c r="D114" s="3"/>
      <c r="E114" s="3"/>
      <c r="F114" s="3"/>
      <c r="G114" s="3"/>
      <c r="H114" s="3"/>
      <c r="I114" s="3"/>
      <c r="J114" s="3"/>
      <c r="K114" s="222" t="s">
        <v>53</v>
      </c>
      <c r="L114" s="223" t="s">
        <v>617</v>
      </c>
      <c r="M114" s="223" t="s">
        <v>618</v>
      </c>
      <c r="N114" s="223">
        <v>0.93899999999999995</v>
      </c>
      <c r="O114" s="226">
        <v>530000</v>
      </c>
      <c r="P114" s="3"/>
      <c r="Q114" s="3"/>
      <c r="R114" s="3"/>
      <c r="S114" s="3"/>
      <c r="T114" s="3"/>
      <c r="U114" s="3"/>
      <c r="V114" s="3"/>
      <c r="W114" s="3"/>
      <c r="X114" s="3"/>
      <c r="Y114" s="3"/>
      <c r="Z114" s="3"/>
      <c r="AA114" s="3"/>
      <c r="AB114" s="3"/>
      <c r="AC114" s="3"/>
      <c r="AD114" s="3"/>
      <c r="AE114" s="3"/>
      <c r="AF114" s="3"/>
    </row>
    <row r="115" spans="1:32" x14ac:dyDescent="0.45">
      <c r="A115" s="3"/>
      <c r="B115" s="3"/>
      <c r="C115" s="3"/>
      <c r="D115" s="3"/>
      <c r="E115" s="3"/>
      <c r="F115" s="3"/>
      <c r="G115" s="3"/>
      <c r="H115" s="3"/>
      <c r="I115" s="3"/>
      <c r="J115" s="3"/>
      <c r="K115" s="222" t="s">
        <v>53</v>
      </c>
      <c r="L115" s="223" t="s">
        <v>619</v>
      </c>
      <c r="M115" s="223" t="s">
        <v>540</v>
      </c>
      <c r="N115" s="223">
        <v>0.44</v>
      </c>
      <c r="O115" s="226">
        <v>180000</v>
      </c>
      <c r="P115" s="3"/>
      <c r="Q115" s="3"/>
      <c r="R115" s="3"/>
      <c r="S115" s="3"/>
      <c r="T115" s="3"/>
      <c r="U115" s="3"/>
      <c r="V115" s="3"/>
      <c r="W115" s="3"/>
      <c r="X115" s="3"/>
      <c r="Y115" s="3"/>
      <c r="Z115" s="3"/>
      <c r="AA115" s="3"/>
      <c r="AB115" s="3"/>
      <c r="AC115" s="3"/>
      <c r="AD115" s="3"/>
      <c r="AE115" s="3"/>
      <c r="AF115" s="3"/>
    </row>
    <row r="116" spans="1:32" x14ac:dyDescent="0.45">
      <c r="A116" s="3"/>
      <c r="B116" s="3"/>
      <c r="C116" s="3"/>
      <c r="D116" s="3"/>
      <c r="E116" s="3"/>
      <c r="F116" s="3"/>
      <c r="G116" s="3"/>
      <c r="H116" s="3"/>
      <c r="I116" s="3"/>
      <c r="J116" s="3"/>
      <c r="K116" s="222" t="s">
        <v>53</v>
      </c>
      <c r="L116" s="223" t="s">
        <v>620</v>
      </c>
      <c r="M116" s="223" t="s">
        <v>540</v>
      </c>
      <c r="N116" s="223">
        <v>0.38500000000000001</v>
      </c>
      <c r="O116" s="226">
        <v>485000</v>
      </c>
      <c r="P116" s="3"/>
      <c r="Q116" s="3"/>
      <c r="R116" s="3"/>
      <c r="S116" s="3"/>
      <c r="T116" s="3"/>
      <c r="U116" s="3"/>
      <c r="V116" s="3"/>
      <c r="W116" s="3"/>
      <c r="X116" s="3"/>
      <c r="Y116" s="3"/>
      <c r="Z116" s="3"/>
      <c r="AA116" s="3"/>
      <c r="AB116" s="3"/>
      <c r="AC116" s="3"/>
      <c r="AD116" s="3"/>
      <c r="AE116" s="3"/>
      <c r="AF116" s="3"/>
    </row>
    <row r="117" spans="1:32" x14ac:dyDescent="0.45">
      <c r="A117" s="3"/>
      <c r="B117" s="3"/>
      <c r="C117" s="3"/>
      <c r="D117" s="3"/>
      <c r="E117" s="3"/>
      <c r="F117" s="3"/>
      <c r="G117" s="3"/>
      <c r="H117" s="3"/>
      <c r="I117" s="3"/>
      <c r="J117" s="3"/>
      <c r="K117" s="222" t="s">
        <v>53</v>
      </c>
      <c r="L117" s="223" t="s">
        <v>621</v>
      </c>
      <c r="M117" s="223" t="s">
        <v>618</v>
      </c>
      <c r="N117" s="223">
        <v>1.496</v>
      </c>
      <c r="O117" s="226">
        <v>231000</v>
      </c>
      <c r="P117" s="3"/>
      <c r="Q117" s="3"/>
      <c r="R117" s="3"/>
      <c r="S117" s="3"/>
      <c r="T117" s="3"/>
      <c r="U117" s="3"/>
      <c r="V117" s="3"/>
      <c r="W117" s="3"/>
      <c r="X117" s="3"/>
      <c r="Y117" s="3"/>
      <c r="Z117" s="3"/>
      <c r="AA117" s="3"/>
      <c r="AB117" s="3"/>
      <c r="AC117" s="3"/>
      <c r="AD117" s="3"/>
      <c r="AE117" s="3"/>
      <c r="AF117" s="3"/>
    </row>
    <row r="118" spans="1:32" x14ac:dyDescent="0.45">
      <c r="A118" s="3"/>
      <c r="B118" s="3"/>
      <c r="C118" s="3"/>
      <c r="D118" s="3"/>
      <c r="E118" s="3"/>
      <c r="F118" s="3"/>
      <c r="G118" s="3"/>
      <c r="H118" s="3"/>
      <c r="I118" s="3"/>
      <c r="J118" s="3"/>
      <c r="K118" s="222" t="s">
        <v>53</v>
      </c>
      <c r="L118" s="223" t="s">
        <v>622</v>
      </c>
      <c r="M118" s="223" t="s">
        <v>548</v>
      </c>
      <c r="N118" s="223">
        <v>0.94</v>
      </c>
      <c r="O118" s="226">
        <v>74000</v>
      </c>
      <c r="P118" s="3"/>
      <c r="Q118" s="3"/>
      <c r="R118" s="3"/>
      <c r="S118" s="3"/>
      <c r="T118" s="3"/>
      <c r="U118" s="3"/>
      <c r="V118" s="3"/>
      <c r="W118" s="3"/>
      <c r="X118" s="3"/>
      <c r="Y118" s="3"/>
      <c r="Z118" s="3"/>
      <c r="AA118" s="3"/>
      <c r="AB118" s="3"/>
      <c r="AC118" s="3"/>
      <c r="AD118" s="3"/>
      <c r="AE118" s="3"/>
      <c r="AF118" s="3"/>
    </row>
    <row r="119" spans="1:32" x14ac:dyDescent="0.45">
      <c r="A119" s="3"/>
      <c r="B119" s="3"/>
      <c r="C119" s="3"/>
      <c r="D119" s="3"/>
      <c r="E119" s="3"/>
      <c r="F119" s="3"/>
      <c r="G119" s="3"/>
      <c r="H119" s="3"/>
      <c r="I119" s="3"/>
      <c r="J119" s="3"/>
      <c r="K119" s="222" t="s">
        <v>53</v>
      </c>
      <c r="L119" s="223" t="s">
        <v>623</v>
      </c>
      <c r="M119" s="223" t="s">
        <v>540</v>
      </c>
      <c r="N119" s="223">
        <v>0.57699999999999996</v>
      </c>
      <c r="O119" s="226">
        <v>216000</v>
      </c>
      <c r="P119" s="3"/>
      <c r="Q119" s="3"/>
      <c r="R119" s="3"/>
      <c r="S119" s="3"/>
      <c r="T119" s="3"/>
      <c r="U119" s="3"/>
      <c r="V119" s="3"/>
      <c r="W119" s="3"/>
      <c r="X119" s="3"/>
      <c r="Y119" s="3"/>
      <c r="Z119" s="3"/>
      <c r="AA119" s="3"/>
      <c r="AB119" s="3"/>
      <c r="AC119" s="3"/>
      <c r="AD119" s="3"/>
      <c r="AE119" s="3"/>
      <c r="AF119" s="3"/>
    </row>
    <row r="120" spans="1:32" x14ac:dyDescent="0.45">
      <c r="A120" s="3"/>
      <c r="B120" s="3"/>
      <c r="C120" s="3"/>
      <c r="D120" s="3"/>
      <c r="E120" s="3"/>
      <c r="F120" s="3"/>
      <c r="G120" s="3"/>
      <c r="H120" s="3"/>
      <c r="I120" s="3"/>
      <c r="J120" s="3"/>
      <c r="K120" s="222" t="s">
        <v>53</v>
      </c>
      <c r="L120" s="223" t="s">
        <v>624</v>
      </c>
      <c r="M120" s="223" t="s">
        <v>544</v>
      </c>
      <c r="N120" s="223">
        <v>0</v>
      </c>
      <c r="O120" s="226">
        <v>270000</v>
      </c>
      <c r="P120" s="3"/>
      <c r="Q120" s="3"/>
      <c r="R120" s="3"/>
      <c r="S120" s="3"/>
      <c r="T120" s="3"/>
      <c r="U120" s="3"/>
      <c r="V120" s="3"/>
      <c r="W120" s="3"/>
      <c r="X120" s="3"/>
      <c r="Y120" s="3"/>
      <c r="Z120" s="3"/>
      <c r="AA120" s="3"/>
      <c r="AB120" s="3"/>
      <c r="AC120" s="3"/>
      <c r="AD120" s="3"/>
      <c r="AE120" s="3"/>
      <c r="AF120" s="3"/>
    </row>
    <row r="121" spans="1:32" x14ac:dyDescent="0.45">
      <c r="A121" s="3"/>
      <c r="B121" s="3"/>
      <c r="C121" s="3"/>
      <c r="D121" s="3"/>
      <c r="E121" s="3"/>
      <c r="F121" s="3"/>
      <c r="G121" s="3"/>
      <c r="H121" s="3"/>
      <c r="I121" s="3"/>
      <c r="J121" s="3"/>
      <c r="K121" s="222" t="s">
        <v>53</v>
      </c>
      <c r="L121" s="223" t="s">
        <v>625</v>
      </c>
      <c r="M121" s="223" t="s">
        <v>544</v>
      </c>
      <c r="N121" s="223">
        <v>0</v>
      </c>
      <c r="O121" s="226">
        <v>99000</v>
      </c>
      <c r="P121" s="3"/>
      <c r="Q121" s="3"/>
      <c r="R121" s="3"/>
      <c r="S121" s="3"/>
      <c r="T121" s="3"/>
      <c r="U121" s="3"/>
      <c r="V121" s="3"/>
      <c r="W121" s="3"/>
      <c r="X121" s="3"/>
      <c r="Y121" s="3"/>
      <c r="Z121" s="3"/>
      <c r="AA121" s="3"/>
      <c r="AB121" s="3"/>
      <c r="AC121" s="3"/>
      <c r="AD121" s="3"/>
      <c r="AE121" s="3"/>
      <c r="AF121" s="3"/>
    </row>
    <row r="122" spans="1:32" x14ac:dyDescent="0.45">
      <c r="A122" s="3"/>
      <c r="B122" s="3"/>
      <c r="C122" s="3"/>
      <c r="D122" s="3"/>
      <c r="E122" s="3"/>
      <c r="F122" s="3"/>
      <c r="G122" s="3"/>
      <c r="H122" s="3"/>
      <c r="I122" s="3"/>
      <c r="J122" s="3"/>
      <c r="K122" s="222" t="s">
        <v>53</v>
      </c>
      <c r="L122" s="223" t="s">
        <v>626</v>
      </c>
      <c r="M122" s="223" t="s">
        <v>548</v>
      </c>
      <c r="N122" s="223">
        <v>0.94</v>
      </c>
      <c r="O122" s="226">
        <v>63000</v>
      </c>
      <c r="P122" s="3"/>
      <c r="Q122" s="3"/>
      <c r="R122" s="3"/>
      <c r="S122" s="3"/>
      <c r="T122" s="3"/>
      <c r="U122" s="3"/>
      <c r="V122" s="3"/>
      <c r="W122" s="3"/>
      <c r="X122" s="3"/>
      <c r="Y122" s="3"/>
      <c r="Z122" s="3"/>
      <c r="AA122" s="3"/>
      <c r="AB122" s="3"/>
      <c r="AC122" s="3"/>
      <c r="AD122" s="3"/>
      <c r="AE122" s="3"/>
      <c r="AF122" s="3"/>
    </row>
    <row r="123" spans="1:32" x14ac:dyDescent="0.45">
      <c r="A123" s="3"/>
      <c r="B123" s="3"/>
      <c r="C123" s="3"/>
      <c r="D123" s="3"/>
      <c r="E123" s="3"/>
      <c r="F123" s="3"/>
      <c r="G123" s="3"/>
      <c r="H123" s="3"/>
      <c r="I123" s="3"/>
      <c r="J123" s="3"/>
      <c r="K123" s="222" t="s">
        <v>53</v>
      </c>
      <c r="L123" s="223" t="s">
        <v>627</v>
      </c>
      <c r="M123" s="223" t="s">
        <v>540</v>
      </c>
      <c r="N123" s="223">
        <v>0.66900000000000004</v>
      </c>
      <c r="O123" s="226">
        <v>480000</v>
      </c>
      <c r="P123" s="3"/>
      <c r="Q123" s="3"/>
      <c r="R123" s="3"/>
      <c r="S123" s="3"/>
      <c r="T123" s="3"/>
      <c r="U123" s="3"/>
      <c r="V123" s="3"/>
      <c r="W123" s="3"/>
      <c r="X123" s="3"/>
      <c r="Y123" s="3"/>
      <c r="Z123" s="3"/>
      <c r="AA123" s="3"/>
      <c r="AB123" s="3"/>
      <c r="AC123" s="3"/>
      <c r="AD123" s="3"/>
      <c r="AE123" s="3"/>
      <c r="AF123" s="3"/>
    </row>
    <row r="124" spans="1:32" x14ac:dyDescent="0.45">
      <c r="A124" s="3"/>
      <c r="B124" s="3"/>
      <c r="C124" s="3"/>
      <c r="D124" s="3"/>
      <c r="E124" s="3"/>
      <c r="F124" s="3"/>
      <c r="G124" s="3"/>
      <c r="H124" s="3"/>
      <c r="I124" s="3"/>
      <c r="J124" s="3"/>
      <c r="K124" s="222" t="s">
        <v>53</v>
      </c>
      <c r="L124" s="223" t="s">
        <v>628</v>
      </c>
      <c r="M124" s="223" t="s">
        <v>540</v>
      </c>
      <c r="N124" s="223">
        <v>0.61599999999999999</v>
      </c>
      <c r="O124" s="226">
        <v>800000</v>
      </c>
      <c r="P124" s="3"/>
      <c r="Q124" s="3"/>
      <c r="R124" s="3"/>
      <c r="S124" s="3"/>
      <c r="T124" s="3"/>
      <c r="U124" s="3"/>
      <c r="V124" s="3"/>
      <c r="W124" s="3"/>
      <c r="X124" s="3"/>
      <c r="Y124" s="3"/>
      <c r="Z124" s="3"/>
      <c r="AA124" s="3"/>
      <c r="AB124" s="3"/>
      <c r="AC124" s="3"/>
      <c r="AD124" s="3"/>
      <c r="AE124" s="3"/>
      <c r="AF124" s="3"/>
    </row>
    <row r="125" spans="1:32" x14ac:dyDescent="0.45">
      <c r="A125" s="3"/>
      <c r="B125" s="3"/>
      <c r="C125" s="3"/>
      <c r="D125" s="3"/>
      <c r="E125" s="3"/>
      <c r="F125" s="3"/>
      <c r="G125" s="3"/>
      <c r="H125" s="3"/>
      <c r="I125" s="3"/>
      <c r="J125" s="3"/>
      <c r="K125" s="222" t="s">
        <v>53</v>
      </c>
      <c r="L125" s="223" t="s">
        <v>629</v>
      </c>
      <c r="M125" s="223" t="s">
        <v>544</v>
      </c>
      <c r="N125" s="223">
        <v>0</v>
      </c>
      <c r="O125" s="226">
        <v>111000</v>
      </c>
      <c r="P125" s="3"/>
      <c r="Q125" s="3"/>
      <c r="R125" s="3"/>
      <c r="S125" s="3"/>
      <c r="T125" s="3"/>
      <c r="U125" s="3"/>
      <c r="V125" s="3"/>
      <c r="W125" s="3"/>
      <c r="X125" s="3"/>
      <c r="Y125" s="3"/>
      <c r="Z125" s="3"/>
      <c r="AA125" s="3"/>
      <c r="AB125" s="3"/>
      <c r="AC125" s="3"/>
      <c r="AD125" s="3"/>
      <c r="AE125" s="3"/>
      <c r="AF125" s="3"/>
    </row>
    <row r="126" spans="1:32" x14ac:dyDescent="0.45">
      <c r="A126" s="3"/>
      <c r="B126" s="3"/>
      <c r="C126" s="3"/>
      <c r="D126" s="3"/>
      <c r="E126" s="3"/>
      <c r="F126" s="3"/>
      <c r="G126" s="3"/>
      <c r="H126" s="3"/>
      <c r="I126" s="3"/>
      <c r="J126" s="3"/>
      <c r="K126" s="222" t="s">
        <v>390</v>
      </c>
      <c r="L126" s="223" t="s">
        <v>630</v>
      </c>
      <c r="M126" s="223" t="s">
        <v>538</v>
      </c>
      <c r="N126" s="223">
        <v>0</v>
      </c>
      <c r="O126" s="226">
        <v>80000</v>
      </c>
      <c r="P126" s="3"/>
      <c r="Q126" s="3"/>
      <c r="R126" s="3"/>
      <c r="S126" s="3"/>
      <c r="T126" s="3"/>
      <c r="U126" s="3"/>
      <c r="V126" s="3"/>
      <c r="W126" s="3"/>
      <c r="X126" s="3"/>
      <c r="Y126" s="3"/>
      <c r="Z126" s="3"/>
      <c r="AA126" s="3"/>
      <c r="AB126" s="3"/>
      <c r="AC126" s="3"/>
      <c r="AD126" s="3"/>
      <c r="AE126" s="3"/>
      <c r="AF126" s="3"/>
    </row>
    <row r="127" spans="1:32" x14ac:dyDescent="0.45">
      <c r="A127" s="3"/>
      <c r="B127" s="3"/>
      <c r="C127" s="3"/>
      <c r="D127" s="3"/>
      <c r="E127" s="3"/>
      <c r="F127" s="3"/>
      <c r="G127" s="3"/>
      <c r="H127" s="3"/>
      <c r="I127" s="3"/>
      <c r="J127" s="3"/>
      <c r="K127" s="222" t="s">
        <v>390</v>
      </c>
      <c r="L127" s="223" t="s">
        <v>631</v>
      </c>
      <c r="M127" s="223" t="s">
        <v>540</v>
      </c>
      <c r="N127" s="223">
        <v>0.63700000000000001</v>
      </c>
      <c r="O127" s="226">
        <v>240000</v>
      </c>
      <c r="P127" s="3"/>
      <c r="Q127" s="3"/>
      <c r="R127" s="3"/>
      <c r="S127" s="3"/>
      <c r="T127" s="3"/>
      <c r="U127" s="3"/>
      <c r="V127" s="3"/>
      <c r="W127" s="3"/>
      <c r="X127" s="3"/>
      <c r="Y127" s="3"/>
      <c r="Z127" s="3"/>
      <c r="AA127" s="3"/>
      <c r="AB127" s="3"/>
      <c r="AC127" s="3"/>
      <c r="AD127" s="3"/>
      <c r="AE127" s="3"/>
      <c r="AF127" s="3"/>
    </row>
    <row r="128" spans="1:32" x14ac:dyDescent="0.45">
      <c r="A128" s="3"/>
      <c r="B128" s="3"/>
      <c r="C128" s="3"/>
      <c r="D128" s="3"/>
      <c r="E128" s="3"/>
      <c r="F128" s="3"/>
      <c r="G128" s="3"/>
      <c r="H128" s="3"/>
      <c r="I128" s="3"/>
      <c r="J128" s="3"/>
      <c r="K128" s="222" t="s">
        <v>390</v>
      </c>
      <c r="L128" s="223" t="s">
        <v>632</v>
      </c>
      <c r="M128" s="223" t="s">
        <v>540</v>
      </c>
      <c r="N128" s="223">
        <v>0.63700000000000001</v>
      </c>
      <c r="O128" s="226">
        <v>120000</v>
      </c>
      <c r="P128" s="3"/>
      <c r="Q128" s="3"/>
      <c r="R128" s="3"/>
      <c r="S128" s="3"/>
      <c r="T128" s="3"/>
      <c r="U128" s="3"/>
      <c r="V128" s="3"/>
      <c r="W128" s="3"/>
      <c r="X128" s="3"/>
      <c r="Y128" s="3"/>
      <c r="Z128" s="3"/>
      <c r="AA128" s="3"/>
      <c r="AB128" s="3"/>
      <c r="AC128" s="3"/>
      <c r="AD128" s="3"/>
      <c r="AE128" s="3"/>
      <c r="AF128" s="3"/>
    </row>
    <row r="129" spans="1:32" x14ac:dyDescent="0.45">
      <c r="A129" s="3"/>
      <c r="B129" s="3"/>
      <c r="C129" s="3"/>
      <c r="D129" s="3"/>
      <c r="E129" s="3"/>
      <c r="F129" s="3"/>
      <c r="G129" s="3"/>
      <c r="H129" s="3"/>
      <c r="I129" s="3"/>
      <c r="J129" s="3"/>
      <c r="K129" s="222" t="s">
        <v>390</v>
      </c>
      <c r="L129" s="223" t="s">
        <v>633</v>
      </c>
      <c r="M129" s="223" t="s">
        <v>538</v>
      </c>
      <c r="N129" s="223">
        <v>0</v>
      </c>
      <c r="O129" s="226">
        <v>85000</v>
      </c>
      <c r="P129" s="3"/>
      <c r="Q129" s="3"/>
      <c r="R129" s="3"/>
      <c r="S129" s="3"/>
      <c r="T129" s="3"/>
      <c r="U129" s="3"/>
      <c r="V129" s="3"/>
      <c r="W129" s="3"/>
      <c r="X129" s="3"/>
      <c r="Y129" s="3"/>
      <c r="Z129" s="3"/>
      <c r="AA129" s="3"/>
      <c r="AB129" s="3"/>
      <c r="AC129" s="3"/>
      <c r="AD129" s="3"/>
      <c r="AE129" s="3"/>
      <c r="AF129" s="3"/>
    </row>
    <row r="130" spans="1:32" x14ac:dyDescent="0.45">
      <c r="A130" s="3"/>
      <c r="B130" s="3"/>
      <c r="C130" s="3"/>
      <c r="D130" s="3"/>
      <c r="E130" s="3"/>
      <c r="F130" s="3"/>
      <c r="G130" s="3"/>
      <c r="H130" s="3"/>
      <c r="I130" s="3"/>
      <c r="J130" s="3"/>
      <c r="K130" s="222" t="s">
        <v>390</v>
      </c>
      <c r="L130" s="223" t="s">
        <v>634</v>
      </c>
      <c r="M130" s="223" t="s">
        <v>538</v>
      </c>
      <c r="N130" s="223">
        <v>0</v>
      </c>
      <c r="O130" s="226">
        <v>60000</v>
      </c>
      <c r="P130" s="3"/>
      <c r="Q130" s="3"/>
      <c r="R130" s="3"/>
      <c r="S130" s="3"/>
      <c r="T130" s="3"/>
      <c r="U130" s="3"/>
      <c r="V130" s="3"/>
      <c r="W130" s="3"/>
      <c r="X130" s="3"/>
      <c r="Y130" s="3"/>
      <c r="Z130" s="3"/>
      <c r="AA130" s="3"/>
      <c r="AB130" s="3"/>
      <c r="AC130" s="3"/>
      <c r="AD130" s="3"/>
      <c r="AE130" s="3"/>
      <c r="AF130" s="3"/>
    </row>
    <row r="131" spans="1:32" x14ac:dyDescent="0.45">
      <c r="A131" s="3"/>
      <c r="B131" s="3"/>
      <c r="C131" s="3"/>
      <c r="D131" s="3"/>
      <c r="E131" s="3"/>
      <c r="F131" s="3"/>
      <c r="G131" s="3"/>
      <c r="H131" s="3"/>
      <c r="I131" s="3"/>
      <c r="J131" s="3"/>
      <c r="K131" s="222" t="s">
        <v>390</v>
      </c>
      <c r="L131" s="223" t="s">
        <v>635</v>
      </c>
      <c r="M131" s="223" t="s">
        <v>538</v>
      </c>
      <c r="N131" s="223">
        <v>0</v>
      </c>
      <c r="O131" s="226">
        <v>43000</v>
      </c>
      <c r="P131" s="3"/>
      <c r="Q131" s="3"/>
      <c r="R131" s="3"/>
      <c r="S131" s="3"/>
      <c r="T131" s="3"/>
      <c r="U131" s="3"/>
      <c r="V131" s="3"/>
      <c r="W131" s="3"/>
      <c r="X131" s="3"/>
      <c r="Y131" s="3"/>
      <c r="Z131" s="3"/>
      <c r="AA131" s="3"/>
      <c r="AB131" s="3"/>
      <c r="AC131" s="3"/>
      <c r="AD131" s="3"/>
      <c r="AE131" s="3"/>
      <c r="AF131" s="3"/>
    </row>
    <row r="132" spans="1:32" x14ac:dyDescent="0.45">
      <c r="A132" s="3"/>
      <c r="B132" s="3"/>
      <c r="C132" s="3"/>
      <c r="D132" s="3"/>
      <c r="E132" s="3"/>
      <c r="F132" s="3"/>
      <c r="G132" s="3"/>
      <c r="H132" s="3"/>
      <c r="I132" s="3"/>
      <c r="J132" s="3"/>
      <c r="K132" s="222" t="s">
        <v>390</v>
      </c>
      <c r="L132" s="223" t="s">
        <v>636</v>
      </c>
      <c r="M132" s="223" t="s">
        <v>538</v>
      </c>
      <c r="N132" s="223">
        <v>0</v>
      </c>
      <c r="O132" s="226">
        <v>432000</v>
      </c>
      <c r="P132" s="3"/>
      <c r="Q132" s="3"/>
      <c r="R132" s="3"/>
      <c r="S132" s="3"/>
      <c r="T132" s="3"/>
      <c r="U132" s="3"/>
      <c r="V132" s="3"/>
      <c r="W132" s="3"/>
      <c r="X132" s="3"/>
      <c r="Y132" s="3"/>
      <c r="Z132" s="3"/>
      <c r="AA132" s="3"/>
      <c r="AB132" s="3"/>
      <c r="AC132" s="3"/>
      <c r="AD132" s="3"/>
      <c r="AE132" s="3"/>
      <c r="AF132" s="3"/>
    </row>
    <row r="133" spans="1:32" x14ac:dyDescent="0.45">
      <c r="A133" s="3"/>
      <c r="B133" s="3"/>
      <c r="C133" s="3"/>
      <c r="D133" s="3"/>
      <c r="E133" s="3"/>
      <c r="F133" s="3"/>
      <c r="G133" s="3"/>
      <c r="H133" s="3"/>
      <c r="I133" s="3"/>
      <c r="J133" s="3"/>
      <c r="K133" s="222" t="s">
        <v>390</v>
      </c>
      <c r="L133" s="223" t="s">
        <v>637</v>
      </c>
      <c r="M133" s="223" t="s">
        <v>538</v>
      </c>
      <c r="N133" s="223">
        <v>0</v>
      </c>
      <c r="O133" s="226">
        <v>144000</v>
      </c>
      <c r="P133" s="3"/>
      <c r="Q133" s="3"/>
      <c r="R133" s="3"/>
      <c r="S133" s="3"/>
      <c r="T133" s="3"/>
      <c r="U133" s="3"/>
      <c r="V133" s="3"/>
      <c r="W133" s="3"/>
      <c r="X133" s="3"/>
      <c r="Y133" s="3"/>
      <c r="Z133" s="3"/>
      <c r="AA133" s="3"/>
      <c r="AB133" s="3"/>
      <c r="AC133" s="3"/>
      <c r="AD133" s="3"/>
      <c r="AE133" s="3"/>
      <c r="AF133" s="3"/>
    </row>
    <row r="134" spans="1:32" x14ac:dyDescent="0.45">
      <c r="A134" s="3"/>
      <c r="B134" s="3"/>
      <c r="C134" s="3"/>
      <c r="D134" s="3"/>
      <c r="E134" s="3"/>
      <c r="F134" s="3"/>
      <c r="G134" s="3"/>
      <c r="H134" s="3"/>
      <c r="I134" s="3"/>
      <c r="J134" s="3"/>
      <c r="K134" s="222" t="s">
        <v>390</v>
      </c>
      <c r="L134" s="223" t="s">
        <v>638</v>
      </c>
      <c r="M134" s="223" t="s">
        <v>538</v>
      </c>
      <c r="N134" s="223">
        <v>0</v>
      </c>
      <c r="O134" s="226">
        <v>32000</v>
      </c>
      <c r="P134" s="3"/>
      <c r="Q134" s="3"/>
      <c r="R134" s="3"/>
      <c r="S134" s="3"/>
      <c r="T134" s="3"/>
      <c r="U134" s="3"/>
      <c r="V134" s="3"/>
      <c r="W134" s="3"/>
      <c r="X134" s="3"/>
      <c r="Y134" s="3"/>
      <c r="Z134" s="3"/>
      <c r="AA134" s="3"/>
      <c r="AB134" s="3"/>
      <c r="AC134" s="3"/>
      <c r="AD134" s="3"/>
      <c r="AE134" s="3"/>
      <c r="AF134" s="3"/>
    </row>
    <row r="135" spans="1:32" x14ac:dyDescent="0.45">
      <c r="A135" s="3"/>
      <c r="B135" s="3"/>
      <c r="C135" s="3"/>
      <c r="D135" s="3"/>
      <c r="E135" s="3"/>
      <c r="F135" s="3"/>
      <c r="G135" s="3"/>
      <c r="H135" s="3"/>
      <c r="I135" s="3"/>
      <c r="J135" s="3"/>
      <c r="K135" s="222" t="s">
        <v>390</v>
      </c>
      <c r="L135" s="223" t="s">
        <v>639</v>
      </c>
      <c r="M135" s="223" t="s">
        <v>538</v>
      </c>
      <c r="N135" s="223">
        <v>0</v>
      </c>
      <c r="O135" s="226">
        <v>82000</v>
      </c>
      <c r="P135" s="3"/>
      <c r="Q135" s="3"/>
      <c r="R135" s="3"/>
      <c r="S135" s="3"/>
      <c r="T135" s="3"/>
      <c r="U135" s="3"/>
      <c r="V135" s="3"/>
      <c r="W135" s="3"/>
      <c r="X135" s="3"/>
      <c r="Y135" s="3"/>
      <c r="Z135" s="3"/>
      <c r="AA135" s="3"/>
      <c r="AB135" s="3"/>
      <c r="AC135" s="3"/>
      <c r="AD135" s="3"/>
      <c r="AE135" s="3"/>
      <c r="AF135" s="3"/>
    </row>
    <row r="136" spans="1:32" x14ac:dyDescent="0.45">
      <c r="A136" s="3"/>
      <c r="B136" s="3"/>
      <c r="C136" s="3"/>
      <c r="D136" s="3"/>
      <c r="E136" s="3"/>
      <c r="F136" s="3"/>
      <c r="G136" s="3"/>
      <c r="H136" s="3"/>
      <c r="I136" s="3"/>
      <c r="J136" s="3"/>
      <c r="K136" s="222" t="s">
        <v>390</v>
      </c>
      <c r="L136" s="223" t="s">
        <v>640</v>
      </c>
      <c r="M136" s="223" t="s">
        <v>538</v>
      </c>
      <c r="N136" s="223">
        <v>0</v>
      </c>
      <c r="O136" s="226">
        <v>170000</v>
      </c>
      <c r="P136" s="3"/>
      <c r="Q136" s="3"/>
      <c r="R136" s="3"/>
      <c r="S136" s="3"/>
      <c r="T136" s="3"/>
      <c r="U136" s="3"/>
      <c r="V136" s="3"/>
      <c r="W136" s="3"/>
      <c r="X136" s="3"/>
      <c r="Y136" s="3"/>
      <c r="Z136" s="3"/>
      <c r="AA136" s="3"/>
      <c r="AB136" s="3"/>
      <c r="AC136" s="3"/>
      <c r="AD136" s="3"/>
      <c r="AE136" s="3"/>
      <c r="AF136" s="3"/>
    </row>
    <row r="137" spans="1:32" x14ac:dyDescent="0.45">
      <c r="A137" s="3"/>
      <c r="B137" s="3"/>
      <c r="C137" s="3"/>
      <c r="D137" s="3"/>
      <c r="E137" s="3"/>
      <c r="F137" s="3"/>
      <c r="G137" s="3"/>
      <c r="H137" s="3"/>
      <c r="I137" s="3"/>
      <c r="J137" s="3"/>
      <c r="K137" s="222" t="s">
        <v>390</v>
      </c>
      <c r="L137" s="223" t="s">
        <v>641</v>
      </c>
      <c r="M137" s="223" t="s">
        <v>538</v>
      </c>
      <c r="N137" s="223">
        <v>0</v>
      </c>
      <c r="O137" s="226">
        <v>80000</v>
      </c>
      <c r="P137" s="3"/>
      <c r="Q137" s="3"/>
      <c r="R137" s="3"/>
      <c r="S137" s="3"/>
      <c r="T137" s="3"/>
      <c r="U137" s="3"/>
      <c r="V137" s="3"/>
      <c r="W137" s="3"/>
      <c r="X137" s="3"/>
      <c r="Y137" s="3"/>
      <c r="Z137" s="3"/>
      <c r="AA137" s="3"/>
      <c r="AB137" s="3"/>
      <c r="AC137" s="3"/>
      <c r="AD137" s="3"/>
      <c r="AE137" s="3"/>
      <c r="AF137" s="3"/>
    </row>
    <row r="138" spans="1:32" x14ac:dyDescent="0.45">
      <c r="A138" s="3"/>
      <c r="B138" s="3"/>
      <c r="C138" s="3"/>
      <c r="D138" s="3"/>
      <c r="E138" s="3"/>
      <c r="F138" s="3"/>
      <c r="G138" s="3"/>
      <c r="H138" s="3"/>
      <c r="I138" s="3"/>
      <c r="J138" s="3"/>
      <c r="K138" s="222" t="s">
        <v>390</v>
      </c>
      <c r="L138" s="223" t="s">
        <v>642</v>
      </c>
      <c r="M138" s="223" t="s">
        <v>538</v>
      </c>
      <c r="N138" s="223">
        <v>0</v>
      </c>
      <c r="O138" s="226">
        <v>40000</v>
      </c>
      <c r="P138" s="3"/>
      <c r="Q138" s="3"/>
      <c r="R138" s="3"/>
      <c r="S138" s="3"/>
      <c r="T138" s="3"/>
      <c r="U138" s="3"/>
      <c r="V138" s="3"/>
      <c r="W138" s="3"/>
      <c r="X138" s="3"/>
      <c r="Y138" s="3"/>
      <c r="Z138" s="3"/>
      <c r="AA138" s="3"/>
      <c r="AB138" s="3"/>
      <c r="AC138" s="3"/>
      <c r="AD138" s="3"/>
      <c r="AE138" s="3"/>
      <c r="AF138" s="3"/>
    </row>
    <row r="139" spans="1:32" x14ac:dyDescent="0.45">
      <c r="A139" s="3"/>
      <c r="B139" s="3"/>
      <c r="C139" s="3"/>
      <c r="D139" s="3"/>
      <c r="E139" s="3"/>
      <c r="F139" s="3"/>
      <c r="G139" s="3"/>
      <c r="H139" s="3"/>
      <c r="I139" s="3"/>
      <c r="J139" s="3"/>
      <c r="K139" s="222" t="s">
        <v>390</v>
      </c>
      <c r="L139" s="223" t="s">
        <v>643</v>
      </c>
      <c r="M139" s="223" t="s">
        <v>544</v>
      </c>
      <c r="N139" s="223">
        <v>0</v>
      </c>
      <c r="O139" s="226">
        <v>168000</v>
      </c>
      <c r="P139" s="3"/>
      <c r="Q139" s="3"/>
      <c r="R139" s="3"/>
      <c r="S139" s="3"/>
      <c r="T139" s="3"/>
      <c r="U139" s="3"/>
      <c r="V139" s="3"/>
      <c r="W139" s="3"/>
      <c r="X139" s="3"/>
      <c r="Y139" s="3"/>
      <c r="Z139" s="3"/>
      <c r="AA139" s="3"/>
      <c r="AB139" s="3"/>
      <c r="AC139" s="3"/>
      <c r="AD139" s="3"/>
      <c r="AE139" s="3"/>
      <c r="AF139" s="3"/>
    </row>
    <row r="140" spans="1:32" x14ac:dyDescent="0.45">
      <c r="A140" s="3"/>
      <c r="B140" s="3"/>
      <c r="C140" s="3"/>
      <c r="D140" s="3"/>
      <c r="E140" s="3"/>
      <c r="F140" s="3"/>
      <c r="G140" s="3"/>
      <c r="H140" s="3"/>
      <c r="I140" s="3"/>
      <c r="J140" s="3"/>
      <c r="K140" s="222" t="s">
        <v>390</v>
      </c>
      <c r="L140" s="223" t="s">
        <v>644</v>
      </c>
      <c r="M140" s="223" t="s">
        <v>538</v>
      </c>
      <c r="N140" s="223">
        <v>0</v>
      </c>
      <c r="O140" s="226">
        <v>300000</v>
      </c>
      <c r="P140" s="3"/>
      <c r="Q140" s="3"/>
      <c r="R140" s="3"/>
      <c r="S140" s="3"/>
      <c r="T140" s="3"/>
      <c r="U140" s="3"/>
      <c r="V140" s="3"/>
      <c r="W140" s="3"/>
      <c r="X140" s="3"/>
      <c r="Y140" s="3"/>
      <c r="Z140" s="3"/>
      <c r="AA140" s="3"/>
      <c r="AB140" s="3"/>
      <c r="AC140" s="3"/>
      <c r="AD140" s="3"/>
      <c r="AE140" s="3"/>
      <c r="AF140" s="3"/>
    </row>
    <row r="141" spans="1:32" x14ac:dyDescent="0.45">
      <c r="A141" s="3"/>
      <c r="B141" s="3"/>
      <c r="C141" s="3"/>
      <c r="D141" s="3"/>
      <c r="E141" s="3"/>
      <c r="F141" s="3"/>
      <c r="G141" s="3"/>
      <c r="H141" s="3"/>
      <c r="I141" s="3"/>
      <c r="J141" s="3"/>
      <c r="K141" s="222" t="s">
        <v>390</v>
      </c>
      <c r="L141" s="223" t="s">
        <v>645</v>
      </c>
      <c r="M141" s="223" t="s">
        <v>538</v>
      </c>
      <c r="N141" s="223">
        <v>0</v>
      </c>
      <c r="O141" s="226">
        <v>231000</v>
      </c>
      <c r="P141" s="3"/>
      <c r="Q141" s="3"/>
      <c r="R141" s="3"/>
      <c r="S141" s="3"/>
      <c r="T141" s="3"/>
      <c r="U141" s="3"/>
      <c r="V141" s="3"/>
      <c r="W141" s="3"/>
      <c r="X141" s="3"/>
      <c r="Y141" s="3"/>
      <c r="Z141" s="3"/>
      <c r="AA141" s="3"/>
      <c r="AB141" s="3"/>
      <c r="AC141" s="3"/>
      <c r="AD141" s="3"/>
      <c r="AE141" s="3"/>
      <c r="AF141" s="3"/>
    </row>
    <row r="142" spans="1:32" x14ac:dyDescent="0.45">
      <c r="A142" s="3"/>
      <c r="B142" s="3"/>
      <c r="C142" s="3"/>
      <c r="D142" s="3"/>
      <c r="E142" s="3"/>
      <c r="F142" s="3"/>
      <c r="G142" s="3"/>
      <c r="H142" s="3"/>
      <c r="I142" s="3"/>
      <c r="J142" s="3"/>
      <c r="K142" s="222" t="s">
        <v>390</v>
      </c>
      <c r="L142" s="223" t="s">
        <v>646</v>
      </c>
      <c r="M142" s="223" t="s">
        <v>540</v>
      </c>
      <c r="N142" s="223">
        <v>0.38500000000000001</v>
      </c>
      <c r="O142" s="226">
        <v>200000</v>
      </c>
      <c r="P142" s="3"/>
      <c r="Q142" s="3"/>
      <c r="R142" s="3"/>
      <c r="S142" s="3"/>
      <c r="T142" s="3"/>
      <c r="U142" s="3"/>
      <c r="V142" s="3"/>
      <c r="W142" s="3"/>
      <c r="X142" s="3"/>
      <c r="Y142" s="3"/>
      <c r="Z142" s="3"/>
      <c r="AA142" s="3"/>
      <c r="AB142" s="3"/>
      <c r="AC142" s="3"/>
      <c r="AD142" s="3"/>
      <c r="AE142" s="3"/>
      <c r="AF142" s="3"/>
    </row>
    <row r="143" spans="1:32" x14ac:dyDescent="0.45">
      <c r="A143" s="3"/>
      <c r="B143" s="3"/>
      <c r="C143" s="3"/>
      <c r="D143" s="3"/>
      <c r="E143" s="3"/>
      <c r="F143" s="3"/>
      <c r="G143" s="3"/>
      <c r="H143" s="3"/>
      <c r="I143" s="3"/>
      <c r="J143" s="3"/>
      <c r="K143" s="222" t="s">
        <v>390</v>
      </c>
      <c r="L143" s="223" t="s">
        <v>647</v>
      </c>
      <c r="M143" s="223" t="s">
        <v>540</v>
      </c>
      <c r="N143" s="223">
        <v>0.66</v>
      </c>
      <c r="O143" s="226">
        <v>58000</v>
      </c>
      <c r="P143" s="3"/>
      <c r="Q143" s="3"/>
      <c r="R143" s="3"/>
      <c r="S143" s="3"/>
      <c r="T143" s="3"/>
      <c r="U143" s="3"/>
      <c r="V143" s="3"/>
      <c r="W143" s="3"/>
      <c r="X143" s="3"/>
      <c r="Y143" s="3"/>
      <c r="Z143" s="3"/>
      <c r="AA143" s="3"/>
      <c r="AB143" s="3"/>
      <c r="AC143" s="3"/>
      <c r="AD143" s="3"/>
      <c r="AE143" s="3"/>
      <c r="AF143" s="3"/>
    </row>
    <row r="144" spans="1:32" x14ac:dyDescent="0.45">
      <c r="A144" s="3"/>
      <c r="B144" s="3"/>
      <c r="C144" s="3"/>
      <c r="D144" s="3"/>
      <c r="E144" s="3"/>
      <c r="F144" s="3"/>
      <c r="G144" s="3"/>
      <c r="H144" s="3"/>
      <c r="I144" s="3"/>
      <c r="J144" s="3"/>
      <c r="K144" s="222" t="s">
        <v>390</v>
      </c>
      <c r="L144" s="223" t="s">
        <v>648</v>
      </c>
      <c r="M144" s="223" t="s">
        <v>538</v>
      </c>
      <c r="N144" s="223">
        <v>0</v>
      </c>
      <c r="O144" s="226">
        <v>90000</v>
      </c>
      <c r="P144" s="3"/>
      <c r="Q144" s="3"/>
      <c r="R144" s="3"/>
      <c r="S144" s="3"/>
      <c r="T144" s="3"/>
      <c r="U144" s="3"/>
      <c r="V144" s="3"/>
      <c r="W144" s="3"/>
      <c r="X144" s="3"/>
      <c r="Y144" s="3"/>
      <c r="Z144" s="3"/>
      <c r="AA144" s="3"/>
      <c r="AB144" s="3"/>
      <c r="AC144" s="3"/>
      <c r="AD144" s="3"/>
      <c r="AE144" s="3"/>
      <c r="AF144" s="3"/>
    </row>
    <row r="145" spans="1:32" x14ac:dyDescent="0.45">
      <c r="A145" s="3"/>
      <c r="B145" s="3"/>
      <c r="C145" s="3"/>
      <c r="D145" s="3"/>
      <c r="E145" s="3"/>
      <c r="F145" s="3"/>
      <c r="G145" s="3"/>
      <c r="H145" s="3"/>
      <c r="I145" s="3"/>
      <c r="J145" s="3"/>
      <c r="K145" s="222" t="s">
        <v>390</v>
      </c>
      <c r="L145" s="223" t="s">
        <v>649</v>
      </c>
      <c r="M145" s="223" t="s">
        <v>538</v>
      </c>
      <c r="N145" s="223">
        <v>0</v>
      </c>
      <c r="O145" s="226">
        <v>80000</v>
      </c>
      <c r="P145" s="3"/>
      <c r="Q145" s="3"/>
      <c r="R145" s="3"/>
      <c r="S145" s="3"/>
      <c r="T145" s="3"/>
      <c r="U145" s="3"/>
      <c r="V145" s="3"/>
      <c r="W145" s="3"/>
      <c r="X145" s="3"/>
      <c r="Y145" s="3"/>
      <c r="Z145" s="3"/>
      <c r="AA145" s="3"/>
      <c r="AB145" s="3"/>
      <c r="AC145" s="3"/>
      <c r="AD145" s="3"/>
      <c r="AE145" s="3"/>
      <c r="AF145" s="3"/>
    </row>
    <row r="146" spans="1:32" x14ac:dyDescent="0.45">
      <c r="A146" s="3"/>
      <c r="B146" s="3"/>
      <c r="C146" s="3"/>
      <c r="D146" s="3"/>
      <c r="E146" s="3"/>
      <c r="F146" s="3"/>
      <c r="G146" s="3"/>
      <c r="H146" s="3"/>
      <c r="I146" s="3"/>
      <c r="J146" s="3"/>
      <c r="K146" s="222" t="s">
        <v>390</v>
      </c>
      <c r="L146" s="223" t="s">
        <v>650</v>
      </c>
      <c r="M146" s="223" t="s">
        <v>538</v>
      </c>
      <c r="N146" s="223">
        <v>0</v>
      </c>
      <c r="O146" s="226">
        <v>83000</v>
      </c>
      <c r="P146" s="3"/>
      <c r="Q146" s="3"/>
      <c r="R146" s="3"/>
      <c r="S146" s="3"/>
      <c r="T146" s="3"/>
      <c r="U146" s="3"/>
      <c r="V146" s="3"/>
      <c r="W146" s="3"/>
      <c r="X146" s="3"/>
      <c r="Y146" s="3"/>
      <c r="Z146" s="3"/>
      <c r="AA146" s="3"/>
      <c r="AB146" s="3"/>
      <c r="AC146" s="3"/>
      <c r="AD146" s="3"/>
      <c r="AE146" s="3"/>
      <c r="AF146" s="3"/>
    </row>
    <row r="147" spans="1:32" x14ac:dyDescent="0.45">
      <c r="A147" s="3"/>
      <c r="B147" s="3"/>
      <c r="C147" s="3"/>
      <c r="D147" s="3"/>
      <c r="E147" s="3"/>
      <c r="F147" s="3"/>
      <c r="G147" s="3"/>
      <c r="H147" s="3"/>
      <c r="I147" s="3"/>
      <c r="J147" s="3"/>
      <c r="K147" s="222" t="s">
        <v>390</v>
      </c>
      <c r="L147" s="223" t="s">
        <v>651</v>
      </c>
      <c r="M147" s="223" t="s">
        <v>538</v>
      </c>
      <c r="N147" s="223">
        <v>0</v>
      </c>
      <c r="O147" s="226">
        <v>125000</v>
      </c>
      <c r="P147" s="3"/>
      <c r="Q147" s="3"/>
      <c r="R147" s="3"/>
      <c r="S147" s="3"/>
      <c r="T147" s="3"/>
      <c r="U147" s="3"/>
      <c r="V147" s="3"/>
      <c r="W147" s="3"/>
      <c r="X147" s="3"/>
      <c r="Y147" s="3"/>
      <c r="Z147" s="3"/>
      <c r="AA147" s="3"/>
      <c r="AB147" s="3"/>
      <c r="AC147" s="3"/>
      <c r="AD147" s="3"/>
      <c r="AE147" s="3"/>
      <c r="AF147" s="3"/>
    </row>
    <row r="148" spans="1:32" x14ac:dyDescent="0.45">
      <c r="A148" s="3"/>
      <c r="B148" s="3"/>
      <c r="C148" s="3"/>
      <c r="D148" s="3"/>
      <c r="E148" s="3"/>
      <c r="F148" s="3"/>
      <c r="G148" s="3"/>
      <c r="H148" s="3"/>
      <c r="I148" s="3"/>
      <c r="J148" s="3"/>
      <c r="K148" s="222" t="s">
        <v>391</v>
      </c>
      <c r="L148" s="223" t="s">
        <v>652</v>
      </c>
      <c r="M148" s="223" t="s">
        <v>618</v>
      </c>
      <c r="N148" s="223">
        <v>1.204</v>
      </c>
      <c r="O148" s="226">
        <v>160000</v>
      </c>
      <c r="P148" s="3"/>
      <c r="Q148" s="3"/>
      <c r="R148" s="3"/>
      <c r="S148" s="3"/>
      <c r="T148" s="3"/>
      <c r="U148" s="3"/>
      <c r="V148" s="3"/>
      <c r="W148" s="3"/>
      <c r="X148" s="3"/>
      <c r="Y148" s="3"/>
      <c r="Z148" s="3"/>
      <c r="AA148" s="3"/>
      <c r="AB148" s="3"/>
      <c r="AC148" s="3"/>
      <c r="AD148" s="3"/>
      <c r="AE148" s="3"/>
      <c r="AF148" s="3"/>
    </row>
    <row r="149" spans="1:32" x14ac:dyDescent="0.45">
      <c r="A149" s="3"/>
      <c r="B149" s="3"/>
      <c r="C149" s="3"/>
      <c r="D149" s="3"/>
      <c r="E149" s="3"/>
      <c r="F149" s="3"/>
      <c r="G149" s="3"/>
      <c r="H149" s="3"/>
      <c r="I149" s="3"/>
      <c r="J149" s="3"/>
      <c r="K149" s="222" t="s">
        <v>391</v>
      </c>
      <c r="L149" s="223" t="s">
        <v>653</v>
      </c>
      <c r="M149" s="223" t="s">
        <v>540</v>
      </c>
      <c r="N149" s="223">
        <v>0.54300000000000004</v>
      </c>
      <c r="O149" s="226">
        <v>92000</v>
      </c>
      <c r="P149" s="3"/>
      <c r="Q149" s="3"/>
      <c r="R149" s="3"/>
      <c r="S149" s="3"/>
      <c r="T149" s="3"/>
      <c r="U149" s="3"/>
      <c r="V149" s="3"/>
      <c r="W149" s="3"/>
      <c r="X149" s="3"/>
      <c r="Y149" s="3"/>
      <c r="Z149" s="3"/>
      <c r="AA149" s="3"/>
      <c r="AB149" s="3"/>
      <c r="AC149" s="3"/>
      <c r="AD149" s="3"/>
      <c r="AE149" s="3"/>
      <c r="AF149" s="3"/>
    </row>
    <row r="150" spans="1:32" x14ac:dyDescent="0.45">
      <c r="A150" s="3"/>
      <c r="B150" s="3"/>
      <c r="C150" s="3"/>
      <c r="D150" s="3"/>
      <c r="E150" s="3"/>
      <c r="F150" s="3"/>
      <c r="G150" s="3"/>
      <c r="H150" s="3"/>
      <c r="I150" s="3"/>
      <c r="J150" s="3"/>
      <c r="K150" s="222" t="s">
        <v>391</v>
      </c>
      <c r="L150" s="223" t="s">
        <v>654</v>
      </c>
      <c r="M150" s="223" t="s">
        <v>538</v>
      </c>
      <c r="N150" s="223">
        <v>0</v>
      </c>
      <c r="O150" s="226">
        <v>158000</v>
      </c>
      <c r="P150" s="3"/>
      <c r="Q150" s="3"/>
      <c r="R150" s="3"/>
      <c r="S150" s="3"/>
      <c r="T150" s="3"/>
      <c r="U150" s="3"/>
      <c r="V150" s="3"/>
      <c r="W150" s="3"/>
      <c r="X150" s="3"/>
      <c r="Y150" s="3"/>
      <c r="Z150" s="3"/>
      <c r="AA150" s="3"/>
      <c r="AB150" s="3"/>
      <c r="AC150" s="3"/>
      <c r="AD150" s="3"/>
      <c r="AE150" s="3"/>
      <c r="AF150" s="3"/>
    </row>
    <row r="151" spans="1:32" x14ac:dyDescent="0.45">
      <c r="A151" s="3"/>
      <c r="B151" s="3"/>
      <c r="C151" s="3"/>
      <c r="D151" s="3"/>
      <c r="E151" s="3"/>
      <c r="F151" s="3"/>
      <c r="G151" s="3"/>
      <c r="H151" s="3"/>
      <c r="I151" s="3"/>
      <c r="J151" s="3"/>
      <c r="K151" s="222" t="s">
        <v>391</v>
      </c>
      <c r="L151" s="223" t="s">
        <v>655</v>
      </c>
      <c r="M151" s="223" t="s">
        <v>538</v>
      </c>
      <c r="N151" s="223">
        <v>0</v>
      </c>
      <c r="O151" s="226">
        <v>120000</v>
      </c>
      <c r="P151" s="3"/>
      <c r="Q151" s="3"/>
      <c r="R151" s="3"/>
      <c r="S151" s="3"/>
      <c r="T151" s="3"/>
      <c r="U151" s="3"/>
      <c r="V151" s="3"/>
      <c r="W151" s="3"/>
      <c r="X151" s="3"/>
      <c r="Y151" s="3"/>
      <c r="Z151" s="3"/>
      <c r="AA151" s="3"/>
      <c r="AB151" s="3"/>
      <c r="AC151" s="3"/>
      <c r="AD151" s="3"/>
      <c r="AE151" s="3"/>
      <c r="AF151" s="3"/>
    </row>
    <row r="152" spans="1:32" x14ac:dyDescent="0.45">
      <c r="A152" s="3"/>
      <c r="B152" s="3"/>
      <c r="C152" s="3"/>
      <c r="D152" s="3"/>
      <c r="E152" s="3"/>
      <c r="F152" s="3"/>
      <c r="G152" s="3"/>
      <c r="H152" s="3"/>
      <c r="I152" s="3"/>
      <c r="J152" s="3"/>
      <c r="K152" s="222" t="s">
        <v>391</v>
      </c>
      <c r="L152" s="223" t="s">
        <v>656</v>
      </c>
      <c r="M152" s="223" t="s">
        <v>618</v>
      </c>
      <c r="N152" s="223">
        <v>1.4850000000000001</v>
      </c>
      <c r="O152" s="226">
        <v>195000</v>
      </c>
      <c r="P152" s="3"/>
      <c r="Q152" s="3"/>
      <c r="R152" s="3"/>
      <c r="S152" s="3"/>
      <c r="T152" s="3"/>
      <c r="U152" s="3"/>
      <c r="V152" s="3"/>
      <c r="W152" s="3"/>
      <c r="X152" s="3"/>
      <c r="Y152" s="3"/>
      <c r="Z152" s="3"/>
      <c r="AA152" s="3"/>
      <c r="AB152" s="3"/>
      <c r="AC152" s="3"/>
      <c r="AD152" s="3"/>
      <c r="AE152" s="3"/>
      <c r="AF152" s="3"/>
    </row>
    <row r="153" spans="1:32" x14ac:dyDescent="0.45">
      <c r="A153" s="3"/>
      <c r="B153" s="3"/>
      <c r="C153" s="3"/>
      <c r="D153" s="3"/>
      <c r="E153" s="3"/>
      <c r="F153" s="3"/>
      <c r="G153" s="3"/>
      <c r="H153" s="3"/>
      <c r="I153" s="3"/>
      <c r="J153" s="3"/>
      <c r="K153" s="222" t="s">
        <v>391</v>
      </c>
      <c r="L153" s="223" t="s">
        <v>657</v>
      </c>
      <c r="M153" s="223" t="s">
        <v>618</v>
      </c>
      <c r="N153" s="223">
        <v>1.522</v>
      </c>
      <c r="O153" s="226">
        <v>1640000</v>
      </c>
      <c r="P153" s="3"/>
      <c r="Q153" s="3"/>
      <c r="R153" s="3"/>
      <c r="S153" s="3"/>
      <c r="T153" s="3"/>
      <c r="U153" s="3"/>
      <c r="V153" s="3"/>
      <c r="W153" s="3"/>
      <c r="X153" s="3"/>
      <c r="Y153" s="3"/>
      <c r="Z153" s="3"/>
      <c r="AA153" s="3"/>
      <c r="AB153" s="3"/>
      <c r="AC153" s="3"/>
      <c r="AD153" s="3"/>
      <c r="AE153" s="3"/>
      <c r="AF153" s="3"/>
    </row>
    <row r="154" spans="1:32" x14ac:dyDescent="0.45">
      <c r="A154" s="3"/>
      <c r="B154" s="3"/>
      <c r="C154" s="3"/>
      <c r="D154" s="3"/>
      <c r="E154" s="3"/>
      <c r="F154" s="3"/>
      <c r="G154" s="3"/>
      <c r="H154" s="3"/>
      <c r="I154" s="3"/>
      <c r="J154" s="3"/>
      <c r="K154" s="222" t="s">
        <v>391</v>
      </c>
      <c r="L154" s="223" t="s">
        <v>658</v>
      </c>
      <c r="M154" s="223" t="s">
        <v>538</v>
      </c>
      <c r="N154" s="223">
        <v>0</v>
      </c>
      <c r="O154" s="226">
        <v>29000</v>
      </c>
      <c r="P154" s="3"/>
      <c r="Q154" s="3"/>
      <c r="R154" s="3"/>
      <c r="S154" s="3"/>
      <c r="T154" s="3"/>
      <c r="U154" s="3"/>
      <c r="V154" s="3"/>
      <c r="W154" s="3"/>
      <c r="X154" s="3"/>
      <c r="Y154" s="3"/>
      <c r="Z154" s="3"/>
      <c r="AA154" s="3"/>
      <c r="AB154" s="3"/>
      <c r="AC154" s="3"/>
      <c r="AD154" s="3"/>
      <c r="AE154" s="3"/>
      <c r="AF154" s="3"/>
    </row>
    <row r="155" spans="1:32" x14ac:dyDescent="0.45">
      <c r="A155" s="3"/>
      <c r="B155" s="3"/>
      <c r="C155" s="3"/>
      <c r="D155" s="3"/>
      <c r="E155" s="3"/>
      <c r="F155" s="3"/>
      <c r="G155" s="3"/>
      <c r="H155" s="3"/>
      <c r="I155" s="3"/>
      <c r="J155" s="3"/>
      <c r="K155" s="222" t="s">
        <v>391</v>
      </c>
      <c r="L155" s="223" t="s">
        <v>659</v>
      </c>
      <c r="M155" s="223" t="s">
        <v>540</v>
      </c>
      <c r="N155" s="223">
        <v>0.80600000000000005</v>
      </c>
      <c r="O155" s="226">
        <v>228000</v>
      </c>
      <c r="P155" s="3"/>
      <c r="Q155" s="3"/>
      <c r="R155" s="3"/>
      <c r="S155" s="3"/>
      <c r="T155" s="3"/>
      <c r="U155" s="3"/>
      <c r="V155" s="3"/>
      <c r="W155" s="3"/>
      <c r="X155" s="3"/>
      <c r="Y155" s="3"/>
      <c r="Z155" s="3"/>
      <c r="AA155" s="3"/>
      <c r="AB155" s="3"/>
      <c r="AC155" s="3"/>
      <c r="AD155" s="3"/>
      <c r="AE155" s="3"/>
      <c r="AF155" s="3"/>
    </row>
    <row r="156" spans="1:32" x14ac:dyDescent="0.45">
      <c r="A156" s="3"/>
      <c r="B156" s="3"/>
      <c r="C156" s="3"/>
      <c r="D156" s="3"/>
      <c r="E156" s="3"/>
      <c r="F156" s="3"/>
      <c r="G156" s="3"/>
      <c r="H156" s="3"/>
      <c r="I156" s="3"/>
      <c r="J156" s="3"/>
      <c r="K156" s="222" t="s">
        <v>391</v>
      </c>
      <c r="L156" s="223" t="s">
        <v>660</v>
      </c>
      <c r="M156" s="223" t="s">
        <v>540</v>
      </c>
      <c r="N156" s="223">
        <v>0.80600000000000005</v>
      </c>
      <c r="O156" s="226">
        <v>255000</v>
      </c>
      <c r="P156" s="3"/>
      <c r="Q156" s="3"/>
      <c r="R156" s="3"/>
      <c r="S156" s="3"/>
      <c r="T156" s="3"/>
      <c r="U156" s="3"/>
      <c r="V156" s="3"/>
      <c r="W156" s="3"/>
      <c r="X156" s="3"/>
      <c r="Y156" s="3"/>
      <c r="Z156" s="3"/>
      <c r="AA156" s="3"/>
      <c r="AB156" s="3"/>
      <c r="AC156" s="3"/>
      <c r="AD156" s="3"/>
      <c r="AE156" s="3"/>
      <c r="AF156" s="3"/>
    </row>
    <row r="157" spans="1:32" x14ac:dyDescent="0.45">
      <c r="A157" s="3"/>
      <c r="B157" s="3"/>
      <c r="C157" s="3"/>
      <c r="D157" s="3"/>
      <c r="E157" s="3"/>
      <c r="F157" s="3"/>
      <c r="G157" s="3"/>
      <c r="H157" s="3"/>
      <c r="I157" s="3"/>
      <c r="J157" s="3"/>
      <c r="K157" s="222" t="s">
        <v>391</v>
      </c>
      <c r="L157" s="223" t="s">
        <v>661</v>
      </c>
      <c r="M157" s="223" t="s">
        <v>540</v>
      </c>
      <c r="N157" s="223">
        <v>0.60799999999999998</v>
      </c>
      <c r="O157" s="226">
        <v>312000</v>
      </c>
      <c r="P157" s="3"/>
      <c r="Q157" s="3"/>
      <c r="R157" s="3"/>
      <c r="S157" s="3"/>
      <c r="T157" s="3"/>
      <c r="U157" s="3"/>
      <c r="V157" s="3"/>
      <c r="W157" s="3"/>
      <c r="X157" s="3"/>
      <c r="Y157" s="3"/>
      <c r="Z157" s="3"/>
      <c r="AA157" s="3"/>
      <c r="AB157" s="3"/>
      <c r="AC157" s="3"/>
      <c r="AD157" s="3"/>
      <c r="AE157" s="3"/>
      <c r="AF157" s="3"/>
    </row>
    <row r="158" spans="1:32" x14ac:dyDescent="0.45">
      <c r="A158" s="3"/>
      <c r="B158" s="3"/>
      <c r="C158" s="3"/>
      <c r="D158" s="3"/>
      <c r="E158" s="3"/>
      <c r="F158" s="3"/>
      <c r="G158" s="3"/>
      <c r="H158" s="3"/>
      <c r="I158" s="3"/>
      <c r="J158" s="3"/>
      <c r="K158" s="222" t="s">
        <v>391</v>
      </c>
      <c r="L158" s="223" t="s">
        <v>662</v>
      </c>
      <c r="M158" s="223" t="s">
        <v>618</v>
      </c>
      <c r="N158" s="223">
        <v>1.2110000000000001</v>
      </c>
      <c r="O158" s="226">
        <v>2180000</v>
      </c>
      <c r="P158" s="3"/>
      <c r="Q158" s="3"/>
      <c r="R158" s="3"/>
      <c r="S158" s="3"/>
      <c r="T158" s="3"/>
      <c r="U158" s="3"/>
      <c r="V158" s="3"/>
      <c r="W158" s="3"/>
      <c r="X158" s="3"/>
      <c r="Y158" s="3"/>
      <c r="Z158" s="3"/>
      <c r="AA158" s="3"/>
      <c r="AB158" s="3"/>
      <c r="AC158" s="3"/>
      <c r="AD158" s="3"/>
      <c r="AE158" s="3"/>
      <c r="AF158" s="3"/>
    </row>
    <row r="159" spans="1:32" x14ac:dyDescent="0.45">
      <c r="A159" s="3"/>
      <c r="B159" s="3"/>
      <c r="C159" s="3"/>
      <c r="D159" s="3"/>
      <c r="E159" s="3"/>
      <c r="F159" s="3"/>
      <c r="G159" s="3"/>
      <c r="H159" s="3"/>
      <c r="I159" s="3"/>
      <c r="J159" s="3"/>
      <c r="K159" s="222" t="s">
        <v>391</v>
      </c>
      <c r="L159" s="223" t="s">
        <v>663</v>
      </c>
      <c r="M159" s="223" t="s">
        <v>618</v>
      </c>
      <c r="N159" s="223">
        <v>1.238</v>
      </c>
      <c r="O159" s="226">
        <v>1050000</v>
      </c>
      <c r="P159" s="3"/>
      <c r="Q159" s="3"/>
      <c r="R159" s="3"/>
      <c r="S159" s="3"/>
      <c r="T159" s="3"/>
      <c r="U159" s="3"/>
      <c r="V159" s="3"/>
      <c r="W159" s="3"/>
      <c r="X159" s="3"/>
      <c r="Y159" s="3"/>
      <c r="Z159" s="3"/>
      <c r="AA159" s="3"/>
      <c r="AB159" s="3"/>
      <c r="AC159" s="3"/>
      <c r="AD159" s="3"/>
      <c r="AE159" s="3"/>
      <c r="AF159" s="3"/>
    </row>
    <row r="160" spans="1:32" x14ac:dyDescent="0.45">
      <c r="A160" s="3"/>
      <c r="B160" s="3"/>
      <c r="C160" s="3"/>
      <c r="D160" s="3"/>
      <c r="E160" s="3"/>
      <c r="F160" s="3"/>
      <c r="G160" s="3"/>
      <c r="H160" s="3"/>
      <c r="I160" s="3"/>
      <c r="J160" s="3"/>
      <c r="K160" s="222" t="s">
        <v>391</v>
      </c>
      <c r="L160" s="223" t="s">
        <v>664</v>
      </c>
      <c r="M160" s="223" t="s">
        <v>544</v>
      </c>
      <c r="N160" s="223">
        <v>0</v>
      </c>
      <c r="O160" s="226">
        <v>420000</v>
      </c>
      <c r="P160" s="3"/>
      <c r="Q160" s="3"/>
      <c r="R160" s="3"/>
      <c r="S160" s="3"/>
      <c r="T160" s="3"/>
      <c r="U160" s="3"/>
      <c r="V160" s="3"/>
      <c r="W160" s="3"/>
      <c r="X160" s="3"/>
      <c r="Y160" s="3"/>
      <c r="Z160" s="3"/>
      <c r="AA160" s="3"/>
      <c r="AB160" s="3"/>
      <c r="AC160" s="3"/>
      <c r="AD160" s="3"/>
      <c r="AE160" s="3"/>
      <c r="AF160" s="3"/>
    </row>
    <row r="161" spans="1:32" x14ac:dyDescent="0.45">
      <c r="A161" s="3"/>
      <c r="B161" s="3"/>
      <c r="C161" s="3"/>
      <c r="D161" s="3"/>
      <c r="E161" s="3"/>
      <c r="F161" s="3"/>
      <c r="G161" s="3"/>
      <c r="H161" s="3"/>
      <c r="I161" s="3"/>
      <c r="J161" s="3"/>
      <c r="K161" s="222" t="s">
        <v>391</v>
      </c>
      <c r="L161" s="223" t="s">
        <v>665</v>
      </c>
      <c r="M161" s="223" t="s">
        <v>538</v>
      </c>
      <c r="N161" s="223">
        <v>0</v>
      </c>
      <c r="O161" s="226">
        <v>300000</v>
      </c>
      <c r="P161" s="3"/>
      <c r="Q161" s="3"/>
      <c r="R161" s="3"/>
      <c r="S161" s="3"/>
      <c r="T161" s="3"/>
      <c r="U161" s="3"/>
      <c r="V161" s="3"/>
      <c r="W161" s="3"/>
      <c r="X161" s="3"/>
      <c r="Y161" s="3"/>
      <c r="Z161" s="3"/>
      <c r="AA161" s="3"/>
      <c r="AB161" s="3"/>
      <c r="AC161" s="3"/>
      <c r="AD161" s="3"/>
      <c r="AE161" s="3"/>
      <c r="AF161" s="3"/>
    </row>
    <row r="162" spans="1:32" x14ac:dyDescent="0.45">
      <c r="A162" s="3"/>
      <c r="B162" s="3"/>
      <c r="C162" s="3"/>
      <c r="D162" s="3"/>
      <c r="E162" s="3"/>
      <c r="F162" s="3"/>
      <c r="G162" s="3"/>
      <c r="H162" s="3"/>
      <c r="I162" s="3"/>
      <c r="J162" s="3"/>
      <c r="K162" s="222" t="s">
        <v>391</v>
      </c>
      <c r="L162" s="223" t="s">
        <v>666</v>
      </c>
      <c r="M162" s="223" t="s">
        <v>540</v>
      </c>
      <c r="N162" s="223">
        <v>0.57699999999999996</v>
      </c>
      <c r="O162" s="226">
        <v>566000</v>
      </c>
      <c r="P162" s="3"/>
      <c r="Q162" s="3"/>
      <c r="R162" s="3"/>
      <c r="S162" s="3"/>
      <c r="T162" s="3"/>
      <c r="U162" s="3"/>
      <c r="V162" s="3"/>
      <c r="W162" s="3"/>
      <c r="X162" s="3"/>
      <c r="Y162" s="3"/>
      <c r="Z162" s="3"/>
      <c r="AA162" s="3"/>
      <c r="AB162" s="3"/>
      <c r="AC162" s="3"/>
      <c r="AD162" s="3"/>
      <c r="AE162" s="3"/>
      <c r="AF162" s="3"/>
    </row>
    <row r="163" spans="1:32" x14ac:dyDescent="0.45">
      <c r="A163" s="3"/>
      <c r="B163" s="3"/>
      <c r="C163" s="3"/>
      <c r="D163" s="3"/>
      <c r="E163" s="3"/>
      <c r="F163" s="3"/>
      <c r="G163" s="3"/>
      <c r="H163" s="3"/>
      <c r="I163" s="3"/>
      <c r="J163" s="3"/>
      <c r="K163" s="222" t="s">
        <v>391</v>
      </c>
      <c r="L163" s="223" t="s">
        <v>667</v>
      </c>
      <c r="M163" s="223" t="s">
        <v>544</v>
      </c>
      <c r="N163" s="223">
        <v>0</v>
      </c>
      <c r="O163" s="226">
        <v>131000</v>
      </c>
      <c r="P163" s="3"/>
      <c r="Q163" s="3"/>
      <c r="R163" s="3"/>
      <c r="S163" s="3"/>
      <c r="T163" s="3"/>
      <c r="U163" s="3"/>
      <c r="V163" s="3"/>
      <c r="W163" s="3"/>
      <c r="X163" s="3"/>
      <c r="Y163" s="3"/>
      <c r="Z163" s="3"/>
      <c r="AA163" s="3"/>
      <c r="AB163" s="3"/>
      <c r="AC163" s="3"/>
      <c r="AD163" s="3"/>
      <c r="AE163" s="3"/>
      <c r="AF163" s="3"/>
    </row>
    <row r="164" spans="1:32" x14ac:dyDescent="0.45">
      <c r="A164" s="3"/>
      <c r="B164" s="3"/>
      <c r="C164" s="3"/>
      <c r="D164" s="3"/>
      <c r="E164" s="3"/>
      <c r="F164" s="3"/>
      <c r="G164" s="3"/>
      <c r="H164" s="3"/>
      <c r="I164" s="3"/>
      <c r="J164" s="3"/>
      <c r="K164" s="222" t="s">
        <v>391</v>
      </c>
      <c r="L164" s="223" t="s">
        <v>668</v>
      </c>
      <c r="M164" s="223" t="s">
        <v>538</v>
      </c>
      <c r="N164" s="223">
        <v>0</v>
      </c>
      <c r="O164" s="226">
        <v>1500000</v>
      </c>
      <c r="P164" s="3"/>
      <c r="Q164" s="3"/>
      <c r="R164" s="3"/>
      <c r="S164" s="3"/>
      <c r="T164" s="3"/>
      <c r="U164" s="3"/>
      <c r="V164" s="3"/>
      <c r="W164" s="3"/>
      <c r="X164" s="3"/>
      <c r="Y164" s="3"/>
      <c r="Z164" s="3"/>
      <c r="AA164" s="3"/>
      <c r="AB164" s="3"/>
      <c r="AC164" s="3"/>
      <c r="AD164" s="3"/>
      <c r="AE164" s="3"/>
      <c r="AF164" s="3"/>
    </row>
    <row r="165" spans="1:32" x14ac:dyDescent="0.45">
      <c r="A165" s="3"/>
      <c r="B165" s="3"/>
      <c r="C165" s="3"/>
      <c r="D165" s="3"/>
      <c r="E165" s="3"/>
      <c r="F165" s="3"/>
      <c r="G165" s="3"/>
      <c r="H165" s="3"/>
      <c r="I165" s="3"/>
      <c r="J165" s="3"/>
      <c r="K165" s="222" t="s">
        <v>391</v>
      </c>
      <c r="L165" s="223" t="s">
        <v>669</v>
      </c>
      <c r="M165" s="223" t="s">
        <v>540</v>
      </c>
      <c r="N165" s="223">
        <v>0.55500000000000005</v>
      </c>
      <c r="O165" s="226">
        <v>500000</v>
      </c>
      <c r="P165" s="3"/>
      <c r="Q165" s="3"/>
      <c r="R165" s="3"/>
      <c r="S165" s="3"/>
      <c r="T165" s="3"/>
      <c r="U165" s="3"/>
      <c r="V165" s="3"/>
      <c r="W165" s="3"/>
      <c r="X165" s="3"/>
      <c r="Y165" s="3"/>
      <c r="Z165" s="3"/>
      <c r="AA165" s="3"/>
      <c r="AB165" s="3"/>
      <c r="AC165" s="3"/>
      <c r="AD165" s="3"/>
      <c r="AE165" s="3"/>
      <c r="AF165" s="3"/>
    </row>
    <row r="166" spans="1:32" x14ac:dyDescent="0.45">
      <c r="A166" s="3"/>
      <c r="B166" s="3"/>
      <c r="C166" s="3"/>
      <c r="D166" s="3"/>
      <c r="E166" s="3"/>
      <c r="F166" s="3"/>
      <c r="G166" s="3"/>
      <c r="H166" s="3"/>
      <c r="I166" s="3"/>
      <c r="J166" s="3"/>
      <c r="K166" s="222" t="s">
        <v>391</v>
      </c>
      <c r="L166" s="223" t="s">
        <v>670</v>
      </c>
      <c r="M166" s="223" t="s">
        <v>544</v>
      </c>
      <c r="N166" s="223">
        <v>0</v>
      </c>
      <c r="O166" s="226">
        <v>63000</v>
      </c>
      <c r="P166" s="3"/>
      <c r="Q166" s="3"/>
      <c r="R166" s="3"/>
      <c r="S166" s="3"/>
      <c r="T166" s="3"/>
      <c r="U166" s="3"/>
      <c r="V166" s="3"/>
      <c r="W166" s="3"/>
      <c r="X166" s="3"/>
      <c r="Y166" s="3"/>
      <c r="Z166" s="3"/>
      <c r="AA166" s="3"/>
      <c r="AB166" s="3"/>
      <c r="AC166" s="3"/>
      <c r="AD166" s="3"/>
      <c r="AE166" s="3"/>
      <c r="AF166" s="3"/>
    </row>
    <row r="167" spans="1:32" x14ac:dyDescent="0.45">
      <c r="A167" s="3"/>
      <c r="B167" s="3"/>
      <c r="C167" s="3"/>
      <c r="D167" s="3"/>
      <c r="E167" s="3"/>
      <c r="F167" s="3"/>
      <c r="G167" s="3"/>
      <c r="H167" s="3"/>
      <c r="I167" s="3"/>
      <c r="J167" s="3"/>
      <c r="K167" s="222" t="s">
        <v>391</v>
      </c>
      <c r="L167" s="223" t="s">
        <v>671</v>
      </c>
      <c r="M167" s="223" t="s">
        <v>540</v>
      </c>
      <c r="N167" s="223">
        <v>0.77</v>
      </c>
      <c r="O167" s="226">
        <v>160000</v>
      </c>
      <c r="P167" s="3"/>
      <c r="Q167" s="3"/>
      <c r="R167" s="3"/>
      <c r="S167" s="3"/>
      <c r="T167" s="3"/>
      <c r="U167" s="3"/>
      <c r="V167" s="3"/>
      <c r="W167" s="3"/>
      <c r="X167" s="3"/>
      <c r="Y167" s="3"/>
      <c r="Z167" s="3"/>
      <c r="AA167" s="3"/>
      <c r="AB167" s="3"/>
      <c r="AC167" s="3"/>
      <c r="AD167" s="3"/>
      <c r="AE167" s="3"/>
      <c r="AF167" s="3"/>
    </row>
    <row r="168" spans="1:32" x14ac:dyDescent="0.45">
      <c r="A168" s="3"/>
      <c r="B168" s="3"/>
      <c r="C168" s="3"/>
      <c r="D168" s="3"/>
      <c r="E168" s="3"/>
      <c r="F168" s="3"/>
      <c r="G168" s="3"/>
      <c r="H168" s="3"/>
      <c r="I168" s="3"/>
      <c r="J168" s="3"/>
      <c r="K168" s="222" t="s">
        <v>391</v>
      </c>
      <c r="L168" s="223" t="s">
        <v>672</v>
      </c>
      <c r="M168" s="223" t="s">
        <v>540</v>
      </c>
      <c r="N168" s="223">
        <v>0.77</v>
      </c>
      <c r="O168" s="226">
        <v>300000</v>
      </c>
      <c r="P168" s="3"/>
      <c r="Q168" s="3"/>
      <c r="R168" s="3"/>
      <c r="S168" s="3"/>
      <c r="T168" s="3"/>
      <c r="U168" s="3"/>
      <c r="V168" s="3"/>
      <c r="W168" s="3"/>
      <c r="X168" s="3"/>
      <c r="Y168" s="3"/>
      <c r="Z168" s="3"/>
      <c r="AA168" s="3"/>
      <c r="AB168" s="3"/>
      <c r="AC168" s="3"/>
      <c r="AD168" s="3"/>
      <c r="AE168" s="3"/>
      <c r="AF168" s="3"/>
    </row>
    <row r="169" spans="1:32" x14ac:dyDescent="0.45">
      <c r="A169" s="3"/>
      <c r="B169" s="3"/>
      <c r="C169" s="3"/>
      <c r="D169" s="3"/>
      <c r="E169" s="3"/>
      <c r="F169" s="3"/>
      <c r="G169" s="3"/>
      <c r="H169" s="3"/>
      <c r="I169" s="3"/>
      <c r="J169" s="3"/>
      <c r="K169" s="222" t="s">
        <v>391</v>
      </c>
      <c r="L169" s="223" t="s">
        <v>673</v>
      </c>
      <c r="M169" s="223" t="s">
        <v>538</v>
      </c>
      <c r="N169" s="223">
        <v>0</v>
      </c>
      <c r="O169" s="226">
        <v>62000</v>
      </c>
      <c r="P169" s="3"/>
      <c r="Q169" s="3"/>
      <c r="R169" s="3"/>
      <c r="S169" s="3"/>
      <c r="T169" s="3"/>
      <c r="U169" s="3"/>
      <c r="V169" s="3"/>
      <c r="W169" s="3"/>
      <c r="X169" s="3"/>
      <c r="Y169" s="3"/>
      <c r="Z169" s="3"/>
      <c r="AA169" s="3"/>
      <c r="AB169" s="3"/>
      <c r="AC169" s="3"/>
      <c r="AD169" s="3"/>
      <c r="AE169" s="3"/>
      <c r="AF169" s="3"/>
    </row>
    <row r="170" spans="1:32" x14ac:dyDescent="0.45">
      <c r="A170" s="3"/>
      <c r="B170" s="3"/>
      <c r="C170" s="3"/>
      <c r="D170" s="3"/>
      <c r="E170" s="3"/>
      <c r="F170" s="3"/>
      <c r="G170" s="3"/>
      <c r="H170" s="3"/>
      <c r="I170" s="3"/>
      <c r="J170" s="3"/>
      <c r="K170" s="222" t="s">
        <v>391</v>
      </c>
      <c r="L170" s="223" t="s">
        <v>674</v>
      </c>
      <c r="M170" s="223" t="s">
        <v>618</v>
      </c>
      <c r="N170" s="223">
        <v>1.417</v>
      </c>
      <c r="O170" s="226">
        <v>1538000</v>
      </c>
      <c r="P170" s="3"/>
      <c r="Q170" s="3"/>
      <c r="R170" s="3"/>
      <c r="S170" s="3"/>
      <c r="T170" s="3"/>
      <c r="U170" s="3"/>
      <c r="V170" s="3"/>
      <c r="W170" s="3"/>
      <c r="X170" s="3"/>
      <c r="Y170" s="3"/>
      <c r="Z170" s="3"/>
      <c r="AA170" s="3"/>
      <c r="AB170" s="3"/>
      <c r="AC170" s="3"/>
      <c r="AD170" s="3"/>
      <c r="AE170" s="3"/>
      <c r="AF170" s="3"/>
    </row>
    <row r="171" spans="1:32" x14ac:dyDescent="0.45">
      <c r="A171" s="3"/>
      <c r="B171" s="3"/>
      <c r="C171" s="3"/>
      <c r="D171" s="3"/>
      <c r="E171" s="3"/>
      <c r="F171" s="3"/>
      <c r="G171" s="3"/>
      <c r="H171" s="3"/>
      <c r="I171" s="3"/>
      <c r="J171" s="3"/>
      <c r="K171" s="222" t="s">
        <v>177</v>
      </c>
      <c r="L171" s="223" t="s">
        <v>675</v>
      </c>
      <c r="M171" s="223" t="s">
        <v>544</v>
      </c>
      <c r="N171" s="223">
        <v>0</v>
      </c>
      <c r="O171" s="226">
        <v>22000</v>
      </c>
      <c r="P171" s="3"/>
      <c r="Q171" s="3"/>
      <c r="R171" s="3"/>
      <c r="S171" s="3"/>
      <c r="T171" s="3"/>
      <c r="U171" s="3"/>
      <c r="V171" s="3"/>
      <c r="W171" s="3"/>
      <c r="X171" s="3"/>
      <c r="Y171" s="3"/>
      <c r="Z171" s="3"/>
      <c r="AA171" s="3"/>
      <c r="AB171" s="3"/>
      <c r="AC171" s="3"/>
      <c r="AD171" s="3"/>
      <c r="AE171" s="3"/>
      <c r="AF171" s="3"/>
    </row>
    <row r="172" spans="1:32" x14ac:dyDescent="0.45">
      <c r="A172" s="3"/>
      <c r="B172" s="3"/>
      <c r="C172" s="3"/>
      <c r="D172" s="3"/>
      <c r="E172" s="3"/>
      <c r="F172" s="3"/>
      <c r="G172" s="3"/>
      <c r="H172" s="3"/>
      <c r="I172" s="3"/>
      <c r="J172" s="3"/>
      <c r="K172" s="222" t="s">
        <v>177</v>
      </c>
      <c r="L172" s="223" t="s">
        <v>676</v>
      </c>
      <c r="M172" s="223" t="s">
        <v>540</v>
      </c>
      <c r="N172" s="223">
        <v>0.61599999999999999</v>
      </c>
      <c r="O172" s="226">
        <v>5000</v>
      </c>
      <c r="P172" s="3"/>
      <c r="Q172" s="3"/>
      <c r="R172" s="3"/>
      <c r="S172" s="3"/>
      <c r="T172" s="3"/>
      <c r="U172" s="3"/>
      <c r="V172" s="3"/>
      <c r="W172" s="3"/>
      <c r="X172" s="3"/>
      <c r="Y172" s="3"/>
      <c r="Z172" s="3"/>
      <c r="AA172" s="3"/>
      <c r="AB172" s="3"/>
      <c r="AC172" s="3"/>
      <c r="AD172" s="3"/>
      <c r="AE172" s="3"/>
      <c r="AF172" s="3"/>
    </row>
    <row r="173" spans="1:32" x14ac:dyDescent="0.45">
      <c r="A173" s="3"/>
      <c r="B173" s="3"/>
      <c r="C173" s="3"/>
      <c r="D173" s="3"/>
      <c r="E173" s="3"/>
      <c r="F173" s="3"/>
      <c r="G173" s="3"/>
      <c r="H173" s="3"/>
      <c r="I173" s="3"/>
      <c r="J173" s="3"/>
      <c r="K173" s="222" t="s">
        <v>177</v>
      </c>
      <c r="L173" s="223" t="s">
        <v>677</v>
      </c>
      <c r="M173" s="223" t="s">
        <v>540</v>
      </c>
      <c r="N173" s="223">
        <v>0.61599999999999999</v>
      </c>
      <c r="O173" s="226">
        <v>10000</v>
      </c>
      <c r="P173" s="3"/>
      <c r="Q173" s="3"/>
      <c r="R173" s="3"/>
      <c r="S173" s="3"/>
      <c r="T173" s="3"/>
      <c r="U173" s="3"/>
      <c r="V173" s="3"/>
      <c r="W173" s="3"/>
      <c r="X173" s="3"/>
      <c r="Y173" s="3"/>
      <c r="Z173" s="3"/>
      <c r="AA173" s="3"/>
      <c r="AB173" s="3"/>
      <c r="AC173" s="3"/>
      <c r="AD173" s="3"/>
      <c r="AE173" s="3"/>
      <c r="AF173" s="3"/>
    </row>
    <row r="174" spans="1:32" x14ac:dyDescent="0.45">
      <c r="A174" s="3"/>
      <c r="B174" s="3"/>
      <c r="C174" s="3"/>
      <c r="D174" s="3"/>
      <c r="E174" s="3"/>
      <c r="F174" s="3"/>
      <c r="G174" s="3"/>
      <c r="H174" s="3"/>
      <c r="I174" s="3"/>
      <c r="J174" s="3"/>
      <c r="K174" s="222" t="s">
        <v>177</v>
      </c>
      <c r="L174" s="223" t="s">
        <v>678</v>
      </c>
      <c r="M174" s="223" t="s">
        <v>540</v>
      </c>
      <c r="N174" s="223">
        <v>0.61599999999999999</v>
      </c>
      <c r="O174" s="226">
        <v>25000</v>
      </c>
      <c r="P174" s="3"/>
      <c r="Q174" s="3"/>
      <c r="R174" s="3"/>
      <c r="S174" s="3"/>
      <c r="T174" s="3"/>
      <c r="U174" s="3"/>
      <c r="V174" s="3"/>
      <c r="W174" s="3"/>
      <c r="X174" s="3"/>
      <c r="Y174" s="3"/>
      <c r="Z174" s="3"/>
      <c r="AA174" s="3"/>
      <c r="AB174" s="3"/>
      <c r="AC174" s="3"/>
      <c r="AD174" s="3"/>
      <c r="AE174" s="3"/>
      <c r="AF174" s="3"/>
    </row>
    <row r="175" spans="1:32" x14ac:dyDescent="0.45">
      <c r="A175" s="3"/>
      <c r="B175" s="3"/>
      <c r="C175" s="3"/>
      <c r="D175" s="3"/>
      <c r="E175" s="3"/>
      <c r="F175" s="3"/>
      <c r="G175" s="3"/>
      <c r="H175" s="3"/>
      <c r="I175" s="3"/>
      <c r="J175" s="3"/>
      <c r="K175" s="222" t="s">
        <v>177</v>
      </c>
      <c r="L175" s="223" t="s">
        <v>679</v>
      </c>
      <c r="M175" s="223" t="s">
        <v>533</v>
      </c>
      <c r="N175" s="223">
        <v>0.92800000000000005</v>
      </c>
      <c r="O175" s="226">
        <v>441000</v>
      </c>
      <c r="P175" s="3"/>
      <c r="Q175" s="3"/>
      <c r="R175" s="3"/>
      <c r="S175" s="3"/>
      <c r="T175" s="3"/>
      <c r="U175" s="3"/>
      <c r="V175" s="3"/>
      <c r="W175" s="3"/>
      <c r="X175" s="3"/>
      <c r="Y175" s="3"/>
      <c r="Z175" s="3"/>
      <c r="AA175" s="3"/>
      <c r="AB175" s="3"/>
      <c r="AC175" s="3"/>
      <c r="AD175" s="3"/>
      <c r="AE175" s="3"/>
      <c r="AF175" s="3"/>
    </row>
    <row r="176" spans="1:32" x14ac:dyDescent="0.45">
      <c r="A176" s="3"/>
      <c r="B176" s="3"/>
      <c r="C176" s="3"/>
      <c r="D176" s="3"/>
      <c r="E176" s="3"/>
      <c r="F176" s="3"/>
      <c r="G176" s="3"/>
      <c r="H176" s="3"/>
      <c r="I176" s="3"/>
      <c r="J176" s="3"/>
      <c r="K176" s="222" t="s">
        <v>177</v>
      </c>
      <c r="L176" s="223" t="s">
        <v>680</v>
      </c>
      <c r="M176" s="223" t="s">
        <v>540</v>
      </c>
      <c r="N176" s="223">
        <v>0.56000000000000005</v>
      </c>
      <c r="O176" s="226">
        <v>81000</v>
      </c>
      <c r="P176" s="3"/>
      <c r="Q176" s="3"/>
      <c r="R176" s="3"/>
      <c r="S176" s="3"/>
      <c r="T176" s="3"/>
      <c r="U176" s="3"/>
      <c r="V176" s="3"/>
      <c r="W176" s="3"/>
      <c r="X176" s="3"/>
      <c r="Y176" s="3"/>
      <c r="Z176" s="3"/>
      <c r="AA176" s="3"/>
      <c r="AB176" s="3"/>
      <c r="AC176" s="3"/>
      <c r="AD176" s="3"/>
      <c r="AE176" s="3"/>
      <c r="AF176" s="3"/>
    </row>
    <row r="177" spans="1:32" x14ac:dyDescent="0.45">
      <c r="A177" s="3"/>
      <c r="B177" s="3"/>
      <c r="C177" s="3"/>
      <c r="D177" s="3"/>
      <c r="E177" s="3"/>
      <c r="F177" s="3"/>
      <c r="G177" s="3"/>
      <c r="H177" s="3"/>
      <c r="I177" s="3"/>
      <c r="J177" s="3"/>
      <c r="K177" s="222" t="s">
        <v>177</v>
      </c>
      <c r="L177" s="223" t="s">
        <v>681</v>
      </c>
      <c r="M177" s="223" t="s">
        <v>682</v>
      </c>
      <c r="N177" s="223">
        <v>0</v>
      </c>
      <c r="O177" s="226">
        <v>9000</v>
      </c>
      <c r="P177" s="3"/>
      <c r="Q177" s="3"/>
      <c r="R177" s="3"/>
      <c r="S177" s="3"/>
      <c r="T177" s="3"/>
      <c r="U177" s="3"/>
      <c r="V177" s="3"/>
      <c r="W177" s="3"/>
      <c r="X177" s="3"/>
      <c r="Y177" s="3"/>
      <c r="Z177" s="3"/>
      <c r="AA177" s="3"/>
      <c r="AB177" s="3"/>
      <c r="AC177" s="3"/>
      <c r="AD177" s="3"/>
      <c r="AE177" s="3"/>
      <c r="AF177" s="3"/>
    </row>
    <row r="178" spans="1:32" x14ac:dyDescent="0.45">
      <c r="A178" s="3"/>
      <c r="B178" s="3"/>
      <c r="C178" s="3"/>
      <c r="D178" s="3"/>
      <c r="E178" s="3"/>
      <c r="F178" s="3"/>
      <c r="G178" s="3"/>
      <c r="H178" s="3"/>
      <c r="I178" s="3"/>
      <c r="J178" s="3"/>
      <c r="K178" s="222" t="s">
        <v>177</v>
      </c>
      <c r="L178" s="223" t="s">
        <v>683</v>
      </c>
      <c r="M178" s="223" t="s">
        <v>540</v>
      </c>
      <c r="N178" s="223">
        <v>0.38500000000000001</v>
      </c>
      <c r="O178" s="226">
        <v>246000</v>
      </c>
      <c r="P178" s="3"/>
      <c r="Q178" s="3"/>
      <c r="R178" s="3"/>
      <c r="S178" s="3"/>
      <c r="T178" s="3"/>
      <c r="U178" s="3"/>
      <c r="V178" s="3"/>
      <c r="W178" s="3"/>
      <c r="X178" s="3"/>
      <c r="Y178" s="3"/>
      <c r="Z178" s="3"/>
      <c r="AA178" s="3"/>
      <c r="AB178" s="3"/>
      <c r="AC178" s="3"/>
      <c r="AD178" s="3"/>
      <c r="AE178" s="3"/>
      <c r="AF178" s="3"/>
    </row>
    <row r="179" spans="1:32" x14ac:dyDescent="0.45">
      <c r="A179" s="3"/>
      <c r="B179" s="3"/>
      <c r="C179" s="3"/>
      <c r="D179" s="3"/>
      <c r="E179" s="3"/>
      <c r="F179" s="3"/>
      <c r="G179" s="3"/>
      <c r="H179" s="3"/>
      <c r="I179" s="3"/>
      <c r="J179" s="3"/>
      <c r="K179" s="222" t="s">
        <v>177</v>
      </c>
      <c r="L179" s="223" t="s">
        <v>684</v>
      </c>
      <c r="M179" s="223" t="s">
        <v>544</v>
      </c>
      <c r="N179" s="223">
        <v>0</v>
      </c>
      <c r="O179" s="226">
        <v>206000</v>
      </c>
      <c r="P179" s="3"/>
      <c r="Q179" s="3"/>
      <c r="R179" s="3"/>
      <c r="S179" s="3"/>
      <c r="T179" s="3"/>
      <c r="U179" s="3"/>
      <c r="V179" s="3"/>
      <c r="W179" s="3"/>
      <c r="X179" s="3"/>
      <c r="Y179" s="3"/>
      <c r="Z179" s="3"/>
      <c r="AA179" s="3"/>
      <c r="AB179" s="3"/>
      <c r="AC179" s="3"/>
      <c r="AD179" s="3"/>
      <c r="AE179" s="3"/>
      <c r="AF179" s="3"/>
    </row>
    <row r="180" spans="1:32" x14ac:dyDescent="0.45">
      <c r="A180" s="3"/>
      <c r="B180" s="3"/>
      <c r="C180" s="3"/>
      <c r="D180" s="3"/>
      <c r="E180" s="3"/>
      <c r="F180" s="3"/>
      <c r="G180" s="3"/>
      <c r="H180" s="3"/>
      <c r="I180" s="3"/>
      <c r="J180" s="3"/>
      <c r="K180" s="222" t="s">
        <v>177</v>
      </c>
      <c r="L180" s="223" t="s">
        <v>685</v>
      </c>
      <c r="M180" s="223" t="s">
        <v>533</v>
      </c>
      <c r="N180" s="223">
        <v>0.93100000000000005</v>
      </c>
      <c r="O180" s="226">
        <v>333000</v>
      </c>
      <c r="P180" s="3"/>
      <c r="Q180" s="3"/>
      <c r="R180" s="3"/>
      <c r="S180" s="3"/>
      <c r="T180" s="3"/>
      <c r="U180" s="3"/>
      <c r="V180" s="3"/>
      <c r="W180" s="3"/>
      <c r="X180" s="3"/>
      <c r="Y180" s="3"/>
      <c r="Z180" s="3"/>
      <c r="AA180" s="3"/>
      <c r="AB180" s="3"/>
      <c r="AC180" s="3"/>
      <c r="AD180" s="3"/>
      <c r="AE180" s="3"/>
      <c r="AF180" s="3"/>
    </row>
    <row r="181" spans="1:32" x14ac:dyDescent="0.45">
      <c r="A181" s="3"/>
      <c r="B181" s="3"/>
      <c r="C181" s="3"/>
      <c r="D181" s="3"/>
      <c r="E181" s="3"/>
      <c r="F181" s="3"/>
      <c r="G181" s="3"/>
      <c r="H181" s="3"/>
      <c r="I181" s="3"/>
      <c r="J181" s="3"/>
      <c r="K181" s="222" t="s">
        <v>177</v>
      </c>
      <c r="L181" s="223" t="s">
        <v>686</v>
      </c>
      <c r="M181" s="223" t="s">
        <v>544</v>
      </c>
      <c r="N181" s="223">
        <v>0</v>
      </c>
      <c r="O181" s="226">
        <v>80000</v>
      </c>
      <c r="P181" s="3"/>
      <c r="Q181" s="3"/>
      <c r="R181" s="3"/>
      <c r="S181" s="3"/>
      <c r="T181" s="3"/>
      <c r="U181" s="3"/>
      <c r="V181" s="3"/>
      <c r="W181" s="3"/>
      <c r="X181" s="3"/>
      <c r="Y181" s="3"/>
      <c r="Z181" s="3"/>
      <c r="AA181" s="3"/>
      <c r="AB181" s="3"/>
      <c r="AC181" s="3"/>
      <c r="AD181" s="3"/>
      <c r="AE181" s="3"/>
      <c r="AF181" s="3"/>
    </row>
    <row r="182" spans="1:32" x14ac:dyDescent="0.45">
      <c r="A182" s="3"/>
      <c r="B182" s="3"/>
      <c r="C182" s="3"/>
      <c r="D182" s="3"/>
      <c r="E182" s="3"/>
      <c r="F182" s="3"/>
      <c r="G182" s="3"/>
      <c r="H182" s="3"/>
      <c r="I182" s="3"/>
      <c r="J182" s="3"/>
      <c r="K182" s="222" t="s">
        <v>177</v>
      </c>
      <c r="L182" s="223" t="s">
        <v>687</v>
      </c>
      <c r="M182" s="223" t="s">
        <v>688</v>
      </c>
      <c r="N182" s="223">
        <v>0.84299999999999997</v>
      </c>
      <c r="O182" s="226">
        <v>21000</v>
      </c>
      <c r="P182" s="3"/>
      <c r="Q182" s="3"/>
      <c r="R182" s="3"/>
      <c r="S182" s="3"/>
      <c r="T182" s="3"/>
      <c r="U182" s="3"/>
      <c r="V182" s="3"/>
      <c r="W182" s="3"/>
      <c r="X182" s="3"/>
      <c r="Y182" s="3"/>
      <c r="Z182" s="3"/>
      <c r="AA182" s="3"/>
      <c r="AB182" s="3"/>
      <c r="AC182" s="3"/>
      <c r="AD182" s="3"/>
      <c r="AE182" s="3"/>
      <c r="AF182" s="3"/>
    </row>
    <row r="183" spans="1:32" x14ac:dyDescent="0.45">
      <c r="A183" s="3"/>
      <c r="B183" s="3"/>
      <c r="C183" s="3"/>
      <c r="D183" s="3"/>
      <c r="E183" s="3"/>
      <c r="F183" s="3"/>
      <c r="G183" s="3"/>
      <c r="H183" s="3"/>
      <c r="I183" s="3"/>
      <c r="J183" s="3"/>
      <c r="K183" s="222" t="s">
        <v>177</v>
      </c>
      <c r="L183" s="223" t="s">
        <v>689</v>
      </c>
      <c r="M183" s="223" t="s">
        <v>544</v>
      </c>
      <c r="N183" s="223">
        <v>0</v>
      </c>
      <c r="O183" s="226">
        <v>14000</v>
      </c>
      <c r="P183" s="3"/>
      <c r="Q183" s="3"/>
      <c r="R183" s="3"/>
      <c r="S183" s="3"/>
      <c r="T183" s="3"/>
      <c r="U183" s="3"/>
      <c r="V183" s="3"/>
      <c r="W183" s="3"/>
      <c r="X183" s="3"/>
      <c r="Y183" s="3"/>
      <c r="Z183" s="3"/>
      <c r="AA183" s="3"/>
      <c r="AB183" s="3"/>
      <c r="AC183" s="3"/>
      <c r="AD183" s="3"/>
      <c r="AE183" s="3"/>
      <c r="AF183" s="3"/>
    </row>
    <row r="184" spans="1:32" x14ac:dyDescent="0.45">
      <c r="A184" s="3"/>
      <c r="B184" s="3"/>
      <c r="C184" s="3"/>
      <c r="D184" s="3"/>
      <c r="E184" s="3"/>
      <c r="F184" s="3"/>
      <c r="G184" s="3"/>
      <c r="H184" s="3"/>
      <c r="I184" s="3"/>
      <c r="J184" s="3"/>
      <c r="K184" s="222" t="s">
        <v>177</v>
      </c>
      <c r="L184" s="223" t="s">
        <v>690</v>
      </c>
      <c r="M184" s="223" t="s">
        <v>530</v>
      </c>
      <c r="N184" s="223">
        <v>0</v>
      </c>
      <c r="O184" s="226">
        <v>10000</v>
      </c>
      <c r="P184" s="3"/>
      <c r="Q184" s="3"/>
      <c r="R184" s="3"/>
      <c r="S184" s="3"/>
      <c r="T184" s="3"/>
      <c r="U184" s="3"/>
      <c r="V184" s="3"/>
      <c r="W184" s="3"/>
      <c r="X184" s="3"/>
      <c r="Y184" s="3"/>
      <c r="Z184" s="3"/>
      <c r="AA184" s="3"/>
      <c r="AB184" s="3"/>
      <c r="AC184" s="3"/>
      <c r="AD184" s="3"/>
      <c r="AE184" s="3"/>
      <c r="AF184" s="3"/>
    </row>
    <row r="185" spans="1:32" x14ac:dyDescent="0.45">
      <c r="A185" s="3"/>
      <c r="B185" s="3"/>
      <c r="C185" s="3"/>
      <c r="D185" s="3"/>
      <c r="E185" s="3"/>
      <c r="F185" s="3"/>
      <c r="G185" s="3"/>
      <c r="H185" s="3"/>
      <c r="I185" s="3"/>
      <c r="J185" s="3"/>
      <c r="K185" s="222" t="s">
        <v>177</v>
      </c>
      <c r="L185" s="223" t="s">
        <v>691</v>
      </c>
      <c r="M185" s="223" t="s">
        <v>688</v>
      </c>
      <c r="N185" s="223">
        <v>0.74099999999999999</v>
      </c>
      <c r="O185" s="226">
        <v>63000</v>
      </c>
      <c r="P185" s="3"/>
      <c r="Q185" s="3"/>
      <c r="R185" s="3"/>
      <c r="S185" s="3"/>
      <c r="T185" s="3"/>
      <c r="U185" s="3"/>
      <c r="V185" s="3"/>
      <c r="W185" s="3"/>
      <c r="X185" s="3"/>
      <c r="Y185" s="3"/>
      <c r="Z185" s="3"/>
      <c r="AA185" s="3"/>
      <c r="AB185" s="3"/>
      <c r="AC185" s="3"/>
      <c r="AD185" s="3"/>
      <c r="AE185" s="3"/>
      <c r="AF185" s="3"/>
    </row>
    <row r="186" spans="1:32" x14ac:dyDescent="0.45">
      <c r="A186" s="3"/>
      <c r="B186" s="3"/>
      <c r="C186" s="3"/>
      <c r="D186" s="3"/>
      <c r="E186" s="3"/>
      <c r="F186" s="3"/>
      <c r="G186" s="3"/>
      <c r="H186" s="3"/>
      <c r="I186" s="3"/>
      <c r="J186" s="3"/>
      <c r="K186" s="222" t="s">
        <v>177</v>
      </c>
      <c r="L186" s="223" t="s">
        <v>692</v>
      </c>
      <c r="M186" s="223" t="s">
        <v>540</v>
      </c>
      <c r="N186" s="223">
        <v>0.56000000000000005</v>
      </c>
      <c r="O186" s="226">
        <v>10000</v>
      </c>
      <c r="P186" s="3"/>
      <c r="Q186" s="3"/>
      <c r="R186" s="3"/>
      <c r="S186" s="3"/>
      <c r="T186" s="3"/>
      <c r="U186" s="3"/>
      <c r="V186" s="3"/>
      <c r="W186" s="3"/>
      <c r="X186" s="3"/>
      <c r="Y186" s="3"/>
      <c r="Z186" s="3"/>
      <c r="AA186" s="3"/>
      <c r="AB186" s="3"/>
      <c r="AC186" s="3"/>
      <c r="AD186" s="3"/>
      <c r="AE186" s="3"/>
      <c r="AF186" s="3"/>
    </row>
    <row r="187" spans="1:32" x14ac:dyDescent="0.45">
      <c r="A187" s="3"/>
      <c r="B187" s="3"/>
      <c r="C187" s="3"/>
      <c r="D187" s="3"/>
      <c r="E187" s="3"/>
      <c r="F187" s="3"/>
      <c r="G187" s="3"/>
      <c r="H187" s="3"/>
      <c r="I187" s="3"/>
      <c r="J187" s="3"/>
      <c r="K187" s="222" t="s">
        <v>177</v>
      </c>
      <c r="L187" s="223" t="s">
        <v>693</v>
      </c>
      <c r="M187" s="223" t="s">
        <v>540</v>
      </c>
      <c r="N187" s="223">
        <v>0.54300000000000004</v>
      </c>
      <c r="O187" s="226">
        <v>310000</v>
      </c>
      <c r="P187" s="3"/>
      <c r="Q187" s="3"/>
      <c r="R187" s="3"/>
      <c r="S187" s="3"/>
      <c r="T187" s="3"/>
      <c r="U187" s="3"/>
      <c r="V187" s="3"/>
      <c r="W187" s="3"/>
      <c r="X187" s="3"/>
      <c r="Y187" s="3"/>
      <c r="Z187" s="3"/>
      <c r="AA187" s="3"/>
      <c r="AB187" s="3"/>
      <c r="AC187" s="3"/>
      <c r="AD187" s="3"/>
      <c r="AE187" s="3"/>
      <c r="AF187" s="3"/>
    </row>
    <row r="188" spans="1:32" x14ac:dyDescent="0.45">
      <c r="A188" s="3"/>
      <c r="B188" s="3"/>
      <c r="C188" s="3"/>
      <c r="D188" s="3"/>
      <c r="E188" s="3"/>
      <c r="F188" s="3"/>
      <c r="G188" s="3"/>
      <c r="H188" s="3"/>
      <c r="I188" s="3"/>
      <c r="J188" s="3"/>
      <c r="K188" s="222" t="s">
        <v>177</v>
      </c>
      <c r="L188" s="223" t="s">
        <v>694</v>
      </c>
      <c r="M188" s="223" t="s">
        <v>540</v>
      </c>
      <c r="N188" s="223">
        <v>0.57699999999999996</v>
      </c>
      <c r="O188" s="226">
        <v>245000</v>
      </c>
      <c r="P188" s="3"/>
      <c r="Q188" s="3"/>
      <c r="R188" s="3"/>
      <c r="S188" s="3"/>
      <c r="T188" s="3"/>
      <c r="U188" s="3"/>
      <c r="V188" s="3"/>
      <c r="W188" s="3"/>
      <c r="X188" s="3"/>
      <c r="Y188" s="3"/>
      <c r="Z188" s="3"/>
      <c r="AA188" s="3"/>
      <c r="AB188" s="3"/>
      <c r="AC188" s="3"/>
      <c r="AD188" s="3"/>
      <c r="AE188" s="3"/>
      <c r="AF188" s="3"/>
    </row>
    <row r="189" spans="1:32" x14ac:dyDescent="0.45">
      <c r="A189" s="3"/>
      <c r="B189" s="3"/>
      <c r="C189" s="3"/>
      <c r="D189" s="3"/>
      <c r="E189" s="3"/>
      <c r="F189" s="3"/>
      <c r="G189" s="3"/>
      <c r="H189" s="3"/>
      <c r="I189" s="3"/>
      <c r="J189" s="3"/>
      <c r="K189" s="222" t="s">
        <v>177</v>
      </c>
      <c r="L189" s="223" t="s">
        <v>695</v>
      </c>
      <c r="M189" s="223" t="s">
        <v>540</v>
      </c>
      <c r="N189" s="223">
        <v>0.57699999999999996</v>
      </c>
      <c r="O189" s="226">
        <v>0</v>
      </c>
      <c r="P189" s="3"/>
      <c r="Q189" s="3"/>
      <c r="R189" s="3"/>
      <c r="S189" s="3"/>
      <c r="T189" s="3"/>
      <c r="U189" s="3"/>
      <c r="V189" s="3"/>
      <c r="W189" s="3"/>
      <c r="X189" s="3"/>
      <c r="Y189" s="3"/>
      <c r="Z189" s="3"/>
      <c r="AA189" s="3"/>
      <c r="AB189" s="3"/>
      <c r="AC189" s="3"/>
      <c r="AD189" s="3"/>
      <c r="AE189" s="3"/>
      <c r="AF189" s="3"/>
    </row>
    <row r="190" spans="1:32" x14ac:dyDescent="0.45">
      <c r="A190" s="3"/>
      <c r="B190" s="3"/>
      <c r="C190" s="3"/>
      <c r="D190" s="3"/>
      <c r="E190" s="3"/>
      <c r="F190" s="3"/>
      <c r="G190" s="3"/>
      <c r="H190" s="3"/>
      <c r="I190" s="3"/>
      <c r="J190" s="3"/>
      <c r="K190" s="222" t="s">
        <v>177</v>
      </c>
      <c r="L190" s="223" t="s">
        <v>696</v>
      </c>
      <c r="M190" s="223" t="s">
        <v>540</v>
      </c>
      <c r="N190" s="223">
        <v>0.56000000000000005</v>
      </c>
      <c r="O190" s="226">
        <v>385000</v>
      </c>
      <c r="P190" s="3"/>
      <c r="Q190" s="3"/>
      <c r="R190" s="3"/>
      <c r="S190" s="3"/>
      <c r="T190" s="3"/>
      <c r="U190" s="3"/>
      <c r="V190" s="3"/>
      <c r="W190" s="3"/>
      <c r="X190" s="3"/>
      <c r="Y190" s="3"/>
      <c r="Z190" s="3"/>
      <c r="AA190" s="3"/>
      <c r="AB190" s="3"/>
      <c r="AC190" s="3"/>
      <c r="AD190" s="3"/>
      <c r="AE190" s="3"/>
      <c r="AF190" s="3"/>
    </row>
    <row r="191" spans="1:32" x14ac:dyDescent="0.45">
      <c r="A191" s="3"/>
      <c r="B191" s="3"/>
      <c r="C191" s="3"/>
      <c r="D191" s="3"/>
      <c r="E191" s="3"/>
      <c r="F191" s="3"/>
      <c r="G191" s="3"/>
      <c r="H191" s="3"/>
      <c r="I191" s="3"/>
      <c r="J191" s="3"/>
      <c r="K191" s="222" t="s">
        <v>177</v>
      </c>
      <c r="L191" s="223" t="s">
        <v>697</v>
      </c>
      <c r="M191" s="223" t="s">
        <v>688</v>
      </c>
      <c r="N191" s="223">
        <v>0.76400000000000001</v>
      </c>
      <c r="O191" s="226">
        <v>21000</v>
      </c>
      <c r="P191" s="3"/>
      <c r="Q191" s="3"/>
      <c r="R191" s="3"/>
      <c r="S191" s="3"/>
      <c r="T191" s="3"/>
      <c r="U191" s="3"/>
      <c r="V191" s="3"/>
      <c r="W191" s="3"/>
      <c r="X191" s="3"/>
      <c r="Y191" s="3"/>
      <c r="Z191" s="3"/>
      <c r="AA191" s="3"/>
      <c r="AB191" s="3"/>
      <c r="AC191" s="3"/>
      <c r="AD191" s="3"/>
      <c r="AE191" s="3"/>
      <c r="AF191" s="3"/>
    </row>
    <row r="192" spans="1:32" x14ac:dyDescent="0.45">
      <c r="A192" s="3"/>
      <c r="B192" s="3"/>
      <c r="C192" s="3"/>
      <c r="D192" s="3"/>
      <c r="E192" s="3"/>
      <c r="F192" s="3"/>
      <c r="G192" s="3"/>
      <c r="H192" s="3"/>
      <c r="I192" s="3"/>
      <c r="J192" s="3"/>
      <c r="K192" s="222" t="s">
        <v>177</v>
      </c>
      <c r="L192" s="223" t="s">
        <v>698</v>
      </c>
      <c r="M192" s="223" t="s">
        <v>540</v>
      </c>
      <c r="N192" s="223">
        <v>0.46200000000000002</v>
      </c>
      <c r="O192" s="226">
        <v>201000</v>
      </c>
      <c r="P192" s="3"/>
      <c r="Q192" s="3"/>
      <c r="R192" s="3"/>
      <c r="S192" s="3"/>
      <c r="T192" s="3"/>
      <c r="U192" s="3"/>
      <c r="V192" s="3"/>
      <c r="W192" s="3"/>
      <c r="X192" s="3"/>
      <c r="Y192" s="3"/>
      <c r="Z192" s="3"/>
      <c r="AA192" s="3"/>
      <c r="AB192" s="3"/>
      <c r="AC192" s="3"/>
      <c r="AD192" s="3"/>
      <c r="AE192" s="3"/>
      <c r="AF192" s="3"/>
    </row>
    <row r="193" spans="1:32" x14ac:dyDescent="0.45">
      <c r="A193" s="3"/>
      <c r="B193" s="3"/>
      <c r="C193" s="3"/>
      <c r="D193" s="3"/>
      <c r="E193" s="3"/>
      <c r="F193" s="3"/>
      <c r="G193" s="3"/>
      <c r="H193" s="3"/>
      <c r="I193" s="3"/>
      <c r="J193" s="3"/>
      <c r="K193" s="222" t="s">
        <v>177</v>
      </c>
      <c r="L193" s="223" t="s">
        <v>699</v>
      </c>
      <c r="M193" s="223" t="s">
        <v>533</v>
      </c>
      <c r="N193" s="223">
        <v>1.27</v>
      </c>
      <c r="O193" s="226">
        <v>240000</v>
      </c>
      <c r="P193" s="3"/>
      <c r="Q193" s="3"/>
      <c r="R193" s="3"/>
      <c r="S193" s="3"/>
      <c r="T193" s="3"/>
      <c r="U193" s="3"/>
      <c r="V193" s="3"/>
      <c r="W193" s="3"/>
      <c r="X193" s="3"/>
      <c r="Y193" s="3"/>
      <c r="Z193" s="3"/>
      <c r="AA193" s="3"/>
      <c r="AB193" s="3"/>
      <c r="AC193" s="3"/>
      <c r="AD193" s="3"/>
      <c r="AE193" s="3"/>
      <c r="AF193" s="3"/>
    </row>
    <row r="194" spans="1:32" x14ac:dyDescent="0.45">
      <c r="A194" s="3"/>
      <c r="B194" s="3"/>
      <c r="C194" s="3"/>
      <c r="D194" s="3"/>
      <c r="E194" s="3"/>
      <c r="F194" s="3"/>
      <c r="G194" s="3"/>
      <c r="H194" s="3"/>
      <c r="I194" s="3"/>
      <c r="J194" s="3"/>
      <c r="K194" s="222" t="s">
        <v>177</v>
      </c>
      <c r="L194" s="223" t="s">
        <v>700</v>
      </c>
      <c r="M194" s="223" t="s">
        <v>533</v>
      </c>
      <c r="N194" s="223">
        <v>0.97</v>
      </c>
      <c r="O194" s="226">
        <v>398000</v>
      </c>
      <c r="P194" s="3"/>
      <c r="Q194" s="3"/>
      <c r="R194" s="3"/>
      <c r="S194" s="3"/>
      <c r="T194" s="3"/>
      <c r="U194" s="3"/>
      <c r="V194" s="3"/>
      <c r="W194" s="3"/>
      <c r="X194" s="3"/>
      <c r="Y194" s="3"/>
      <c r="Z194" s="3"/>
      <c r="AA194" s="3"/>
      <c r="AB194" s="3"/>
      <c r="AC194" s="3"/>
      <c r="AD194" s="3"/>
      <c r="AE194" s="3"/>
      <c r="AF194" s="3"/>
    </row>
    <row r="195" spans="1:32" x14ac:dyDescent="0.45">
      <c r="A195" s="3"/>
      <c r="B195" s="3"/>
      <c r="C195" s="3"/>
      <c r="D195" s="3"/>
      <c r="E195" s="3"/>
      <c r="F195" s="3"/>
      <c r="G195" s="3"/>
      <c r="H195" s="3"/>
      <c r="I195" s="3"/>
      <c r="J195" s="3"/>
      <c r="K195" s="222" t="s">
        <v>177</v>
      </c>
      <c r="L195" s="223" t="s">
        <v>701</v>
      </c>
      <c r="M195" s="223" t="s">
        <v>533</v>
      </c>
      <c r="N195" s="223">
        <v>0.94199999999999995</v>
      </c>
      <c r="O195" s="226">
        <v>454000</v>
      </c>
      <c r="P195" s="3"/>
      <c r="Q195" s="3"/>
      <c r="R195" s="3"/>
      <c r="S195" s="3"/>
      <c r="T195" s="3"/>
      <c r="U195" s="3"/>
      <c r="V195" s="3"/>
      <c r="W195" s="3"/>
      <c r="X195" s="3"/>
      <c r="Y195" s="3"/>
      <c r="Z195" s="3"/>
      <c r="AA195" s="3"/>
      <c r="AB195" s="3"/>
      <c r="AC195" s="3"/>
      <c r="AD195" s="3"/>
      <c r="AE195" s="3"/>
      <c r="AF195" s="3"/>
    </row>
    <row r="196" spans="1:32" x14ac:dyDescent="0.45">
      <c r="A196" s="3"/>
      <c r="B196" s="3"/>
      <c r="C196" s="3"/>
      <c r="D196" s="3"/>
      <c r="E196" s="3"/>
      <c r="F196" s="3"/>
      <c r="G196" s="3"/>
      <c r="H196" s="3"/>
      <c r="I196" s="3"/>
      <c r="J196" s="3"/>
      <c r="K196" s="222" t="s">
        <v>177</v>
      </c>
      <c r="L196" s="223" t="s">
        <v>702</v>
      </c>
      <c r="M196" s="223" t="s">
        <v>544</v>
      </c>
      <c r="N196" s="223">
        <v>0</v>
      </c>
      <c r="O196" s="226">
        <v>55000</v>
      </c>
      <c r="P196" s="3"/>
      <c r="Q196" s="3"/>
      <c r="R196" s="3"/>
      <c r="S196" s="3"/>
      <c r="T196" s="3"/>
      <c r="U196" s="3"/>
      <c r="V196" s="3"/>
      <c r="W196" s="3"/>
      <c r="X196" s="3"/>
      <c r="Y196" s="3"/>
      <c r="Z196" s="3"/>
      <c r="AA196" s="3"/>
      <c r="AB196" s="3"/>
      <c r="AC196" s="3"/>
      <c r="AD196" s="3"/>
      <c r="AE196" s="3"/>
      <c r="AF196" s="3"/>
    </row>
    <row r="197" spans="1:32" x14ac:dyDescent="0.45">
      <c r="A197" s="3"/>
      <c r="B197" s="3"/>
      <c r="C197" s="3"/>
      <c r="D197" s="3"/>
      <c r="E197" s="3"/>
      <c r="F197" s="3"/>
      <c r="G197" s="3"/>
      <c r="H197" s="3"/>
      <c r="I197" s="3"/>
      <c r="J197" s="3"/>
      <c r="K197" s="222" t="s">
        <v>177</v>
      </c>
      <c r="L197" s="223" t="s">
        <v>703</v>
      </c>
      <c r="M197" s="223" t="s">
        <v>540</v>
      </c>
      <c r="N197" s="223">
        <v>0.63700000000000001</v>
      </c>
      <c r="O197" s="226">
        <v>113000</v>
      </c>
      <c r="P197" s="3"/>
      <c r="Q197" s="3"/>
      <c r="R197" s="3"/>
      <c r="S197" s="3"/>
      <c r="T197" s="3"/>
      <c r="U197" s="3"/>
      <c r="V197" s="3"/>
      <c r="W197" s="3"/>
      <c r="X197" s="3"/>
      <c r="Y197" s="3"/>
      <c r="Z197" s="3"/>
      <c r="AA197" s="3"/>
      <c r="AB197" s="3"/>
      <c r="AC197" s="3"/>
      <c r="AD197" s="3"/>
      <c r="AE197" s="3"/>
      <c r="AF197" s="3"/>
    </row>
    <row r="198" spans="1:32" x14ac:dyDescent="0.45">
      <c r="A198" s="3"/>
      <c r="B198" s="3"/>
      <c r="C198" s="3"/>
      <c r="D198" s="3"/>
      <c r="E198" s="3"/>
      <c r="F198" s="3"/>
      <c r="G198" s="3"/>
      <c r="H198" s="3"/>
      <c r="I198" s="3"/>
      <c r="J198" s="3"/>
      <c r="K198" s="222" t="s">
        <v>177</v>
      </c>
      <c r="L198" s="223" t="s">
        <v>704</v>
      </c>
      <c r="M198" s="223" t="s">
        <v>688</v>
      </c>
      <c r="N198" s="223">
        <v>0.81499999999999995</v>
      </c>
      <c r="O198" s="226">
        <v>70000</v>
      </c>
      <c r="P198" s="3"/>
      <c r="Q198" s="3"/>
      <c r="R198" s="3"/>
      <c r="S198" s="3"/>
      <c r="T198" s="3"/>
      <c r="U198" s="3"/>
      <c r="V198" s="3"/>
      <c r="W198" s="3"/>
      <c r="X198" s="3"/>
      <c r="Y198" s="3"/>
      <c r="Z198" s="3"/>
      <c r="AA198" s="3"/>
      <c r="AB198" s="3"/>
      <c r="AC198" s="3"/>
      <c r="AD198" s="3"/>
      <c r="AE198" s="3"/>
      <c r="AF198" s="3"/>
    </row>
    <row r="199" spans="1:32" x14ac:dyDescent="0.45">
      <c r="A199" s="3"/>
      <c r="B199" s="3"/>
      <c r="C199" s="3"/>
      <c r="D199" s="3"/>
      <c r="E199" s="3"/>
      <c r="F199" s="3"/>
      <c r="G199" s="3"/>
      <c r="H199" s="3"/>
      <c r="I199" s="3"/>
      <c r="J199" s="3"/>
      <c r="K199" s="222" t="s">
        <v>177</v>
      </c>
      <c r="L199" s="223" t="s">
        <v>705</v>
      </c>
      <c r="M199" s="223" t="s">
        <v>540</v>
      </c>
      <c r="N199" s="223">
        <v>0.57699999999999996</v>
      </c>
      <c r="O199" s="226">
        <v>330000</v>
      </c>
      <c r="P199" s="3"/>
      <c r="Q199" s="3"/>
      <c r="R199" s="3"/>
      <c r="S199" s="3"/>
      <c r="T199" s="3"/>
      <c r="U199" s="3"/>
      <c r="V199" s="3"/>
      <c r="W199" s="3"/>
      <c r="X199" s="3"/>
      <c r="Y199" s="3"/>
      <c r="Z199" s="3"/>
      <c r="AA199" s="3"/>
      <c r="AB199" s="3"/>
      <c r="AC199" s="3"/>
      <c r="AD199" s="3"/>
      <c r="AE199" s="3"/>
      <c r="AF199" s="3"/>
    </row>
    <row r="200" spans="1:32" x14ac:dyDescent="0.45">
      <c r="A200" s="3"/>
      <c r="B200" s="3"/>
      <c r="C200" s="3"/>
      <c r="D200" s="3"/>
      <c r="E200" s="3"/>
      <c r="F200" s="3"/>
      <c r="G200" s="3"/>
      <c r="H200" s="3"/>
      <c r="I200" s="3"/>
      <c r="J200" s="3"/>
      <c r="K200" s="222" t="s">
        <v>177</v>
      </c>
      <c r="L200" s="223" t="s">
        <v>706</v>
      </c>
      <c r="M200" s="223" t="s">
        <v>540</v>
      </c>
      <c r="N200" s="223">
        <v>0.38500000000000001</v>
      </c>
      <c r="O200" s="226">
        <v>314000</v>
      </c>
      <c r="P200" s="3"/>
      <c r="Q200" s="3"/>
      <c r="R200" s="3"/>
      <c r="S200" s="3"/>
      <c r="T200" s="3"/>
      <c r="U200" s="3"/>
      <c r="V200" s="3"/>
      <c r="W200" s="3"/>
      <c r="X200" s="3"/>
      <c r="Y200" s="3"/>
      <c r="Z200" s="3"/>
      <c r="AA200" s="3"/>
      <c r="AB200" s="3"/>
      <c r="AC200" s="3"/>
      <c r="AD200" s="3"/>
      <c r="AE200" s="3"/>
      <c r="AF200" s="3"/>
    </row>
    <row r="201" spans="1:32" x14ac:dyDescent="0.45">
      <c r="A201" s="3"/>
      <c r="B201" s="3"/>
      <c r="C201" s="3"/>
      <c r="D201" s="3"/>
      <c r="E201" s="3"/>
      <c r="F201" s="3"/>
      <c r="G201" s="3"/>
      <c r="H201" s="3"/>
      <c r="I201" s="3"/>
      <c r="J201" s="3"/>
      <c r="K201" s="222" t="s">
        <v>177</v>
      </c>
      <c r="L201" s="223" t="s">
        <v>707</v>
      </c>
      <c r="M201" s="223" t="s">
        <v>540</v>
      </c>
      <c r="N201" s="223">
        <v>0.56000000000000005</v>
      </c>
      <c r="O201" s="226">
        <v>68000</v>
      </c>
      <c r="P201" s="3"/>
      <c r="Q201" s="3"/>
      <c r="R201" s="3"/>
      <c r="S201" s="3"/>
      <c r="T201" s="3"/>
      <c r="U201" s="3"/>
      <c r="V201" s="3"/>
      <c r="W201" s="3"/>
      <c r="X201" s="3"/>
      <c r="Y201" s="3"/>
      <c r="Z201" s="3"/>
      <c r="AA201" s="3"/>
      <c r="AB201" s="3"/>
      <c r="AC201" s="3"/>
      <c r="AD201" s="3"/>
      <c r="AE201" s="3"/>
      <c r="AF201" s="3"/>
    </row>
    <row r="202" spans="1:32" x14ac:dyDescent="0.45">
      <c r="A202" s="3"/>
      <c r="B202" s="3"/>
      <c r="C202" s="3"/>
      <c r="D202" s="3"/>
      <c r="E202" s="3"/>
      <c r="F202" s="3"/>
      <c r="G202" s="3"/>
      <c r="H202" s="3"/>
      <c r="I202" s="3"/>
      <c r="J202" s="3"/>
      <c r="K202" s="222" t="s">
        <v>177</v>
      </c>
      <c r="L202" s="223" t="s">
        <v>708</v>
      </c>
      <c r="M202" s="223" t="s">
        <v>540</v>
      </c>
      <c r="N202" s="223">
        <v>0.63700000000000001</v>
      </c>
      <c r="O202" s="226">
        <v>228000</v>
      </c>
      <c r="P202" s="3"/>
      <c r="Q202" s="3"/>
      <c r="R202" s="3"/>
      <c r="S202" s="3"/>
      <c r="T202" s="3"/>
      <c r="U202" s="3"/>
      <c r="V202" s="3"/>
      <c r="W202" s="3"/>
      <c r="X202" s="3"/>
      <c r="Y202" s="3"/>
      <c r="Z202" s="3"/>
      <c r="AA202" s="3"/>
      <c r="AB202" s="3"/>
      <c r="AC202" s="3"/>
      <c r="AD202" s="3"/>
      <c r="AE202" s="3"/>
      <c r="AF202" s="3"/>
    </row>
    <row r="203" spans="1:32" x14ac:dyDescent="0.45">
      <c r="A203" s="3"/>
      <c r="B203" s="3"/>
      <c r="C203" s="3"/>
      <c r="D203" s="3"/>
      <c r="E203" s="3"/>
      <c r="F203" s="3"/>
      <c r="G203" s="3"/>
      <c r="H203" s="3"/>
      <c r="I203" s="3"/>
      <c r="J203" s="3"/>
      <c r="K203" s="222" t="s">
        <v>177</v>
      </c>
      <c r="L203" s="223" t="s">
        <v>709</v>
      </c>
      <c r="M203" s="223" t="s">
        <v>540</v>
      </c>
      <c r="N203" s="223">
        <v>0.63700000000000001</v>
      </c>
      <c r="O203" s="226">
        <v>233000</v>
      </c>
      <c r="P203" s="3"/>
      <c r="Q203" s="3"/>
      <c r="R203" s="3"/>
      <c r="S203" s="3"/>
      <c r="T203" s="3"/>
      <c r="U203" s="3"/>
      <c r="V203" s="3"/>
      <c r="W203" s="3"/>
      <c r="X203" s="3"/>
      <c r="Y203" s="3"/>
      <c r="Z203" s="3"/>
      <c r="AA203" s="3"/>
      <c r="AB203" s="3"/>
      <c r="AC203" s="3"/>
      <c r="AD203" s="3"/>
      <c r="AE203" s="3"/>
      <c r="AF203" s="3"/>
    </row>
    <row r="204" spans="1:32" x14ac:dyDescent="0.45">
      <c r="A204" s="3"/>
      <c r="B204" s="3"/>
      <c r="C204" s="3"/>
      <c r="D204" s="3"/>
      <c r="E204" s="3"/>
      <c r="F204" s="3"/>
      <c r="G204" s="3"/>
      <c r="H204" s="3"/>
      <c r="I204" s="3"/>
      <c r="J204" s="3"/>
      <c r="K204" s="222" t="s">
        <v>177</v>
      </c>
      <c r="L204" s="223" t="s">
        <v>710</v>
      </c>
      <c r="M204" s="223" t="s">
        <v>540</v>
      </c>
      <c r="N204" s="223">
        <v>0.63700000000000001</v>
      </c>
      <c r="O204" s="226">
        <v>124000</v>
      </c>
      <c r="P204" s="3"/>
      <c r="Q204" s="3"/>
      <c r="R204" s="3"/>
      <c r="S204" s="3"/>
      <c r="T204" s="3"/>
      <c r="U204" s="3"/>
      <c r="V204" s="3"/>
      <c r="W204" s="3"/>
      <c r="X204" s="3"/>
      <c r="Y204" s="3"/>
      <c r="Z204" s="3"/>
      <c r="AA204" s="3"/>
      <c r="AB204" s="3"/>
      <c r="AC204" s="3"/>
      <c r="AD204" s="3"/>
      <c r="AE204" s="3"/>
      <c r="AF204" s="3"/>
    </row>
    <row r="205" spans="1:32" x14ac:dyDescent="0.45">
      <c r="A205" s="3"/>
      <c r="B205" s="3"/>
      <c r="C205" s="3"/>
      <c r="D205" s="3"/>
      <c r="E205" s="3"/>
      <c r="F205" s="3"/>
      <c r="G205" s="3"/>
      <c r="H205" s="3"/>
      <c r="I205" s="3"/>
      <c r="J205" s="3"/>
      <c r="K205" s="222" t="s">
        <v>177</v>
      </c>
      <c r="L205" s="223" t="s">
        <v>711</v>
      </c>
      <c r="M205" s="223" t="s">
        <v>540</v>
      </c>
      <c r="N205" s="223">
        <v>0.54200000000000004</v>
      </c>
      <c r="O205" s="226">
        <v>280000</v>
      </c>
      <c r="P205" s="3"/>
      <c r="Q205" s="3"/>
      <c r="R205" s="3"/>
      <c r="S205" s="3"/>
      <c r="T205" s="3"/>
      <c r="U205" s="3"/>
      <c r="V205" s="3"/>
      <c r="W205" s="3"/>
      <c r="X205" s="3"/>
      <c r="Y205" s="3"/>
      <c r="Z205" s="3"/>
      <c r="AA205" s="3"/>
      <c r="AB205" s="3"/>
      <c r="AC205" s="3"/>
      <c r="AD205" s="3"/>
      <c r="AE205" s="3"/>
      <c r="AF205" s="3"/>
    </row>
    <row r="206" spans="1:32" x14ac:dyDescent="0.45">
      <c r="A206" s="3"/>
      <c r="B206" s="3"/>
      <c r="C206" s="3"/>
      <c r="D206" s="3"/>
      <c r="E206" s="3"/>
      <c r="F206" s="3"/>
      <c r="G206" s="3"/>
      <c r="H206" s="3"/>
      <c r="I206" s="3"/>
      <c r="J206" s="3"/>
      <c r="K206" s="222" t="s">
        <v>177</v>
      </c>
      <c r="L206" s="223" t="s">
        <v>712</v>
      </c>
      <c r="M206" s="223" t="s">
        <v>688</v>
      </c>
      <c r="N206" s="223">
        <v>0.873</v>
      </c>
      <c r="O206" s="226">
        <v>40000</v>
      </c>
      <c r="P206" s="3"/>
      <c r="Q206" s="3"/>
      <c r="R206" s="3"/>
      <c r="S206" s="3"/>
      <c r="T206" s="3"/>
      <c r="U206" s="3"/>
      <c r="V206" s="3"/>
      <c r="W206" s="3"/>
      <c r="X206" s="3"/>
      <c r="Y206" s="3"/>
      <c r="Z206" s="3"/>
      <c r="AA206" s="3"/>
      <c r="AB206" s="3"/>
      <c r="AC206" s="3"/>
      <c r="AD206" s="3"/>
      <c r="AE206" s="3"/>
      <c r="AF206" s="3"/>
    </row>
    <row r="207" spans="1:32" x14ac:dyDescent="0.45">
      <c r="A207" s="3"/>
      <c r="B207" s="3"/>
      <c r="C207" s="3"/>
      <c r="D207" s="3"/>
      <c r="E207" s="3"/>
      <c r="F207" s="3"/>
      <c r="G207" s="3"/>
      <c r="H207" s="3"/>
      <c r="I207" s="3"/>
      <c r="J207" s="3"/>
      <c r="K207" s="222" t="s">
        <v>177</v>
      </c>
      <c r="L207" s="223" t="s">
        <v>713</v>
      </c>
      <c r="M207" s="223" t="s">
        <v>540</v>
      </c>
      <c r="N207" s="223">
        <v>0.57699999999999996</v>
      </c>
      <c r="O207" s="226">
        <v>37000</v>
      </c>
      <c r="P207" s="3"/>
      <c r="Q207" s="3"/>
      <c r="R207" s="3"/>
      <c r="S207" s="3"/>
      <c r="T207" s="3"/>
      <c r="U207" s="3"/>
      <c r="V207" s="3"/>
      <c r="W207" s="3"/>
      <c r="X207" s="3"/>
      <c r="Y207" s="3"/>
      <c r="Z207" s="3"/>
      <c r="AA207" s="3"/>
      <c r="AB207" s="3"/>
      <c r="AC207" s="3"/>
      <c r="AD207" s="3"/>
      <c r="AE207" s="3"/>
      <c r="AF207" s="3"/>
    </row>
    <row r="208" spans="1:32" x14ac:dyDescent="0.45">
      <c r="A208" s="3"/>
      <c r="B208" s="3"/>
      <c r="C208" s="3"/>
      <c r="D208" s="3"/>
      <c r="E208" s="3"/>
      <c r="F208" s="3"/>
      <c r="G208" s="3"/>
      <c r="H208" s="3"/>
      <c r="I208" s="3"/>
      <c r="J208" s="3"/>
      <c r="K208" s="222" t="s">
        <v>177</v>
      </c>
      <c r="L208" s="223" t="s">
        <v>714</v>
      </c>
      <c r="M208" s="223" t="s">
        <v>688</v>
      </c>
      <c r="N208" s="223">
        <v>0.71699999999999997</v>
      </c>
      <c r="O208" s="226">
        <v>323000</v>
      </c>
      <c r="P208" s="3"/>
      <c r="Q208" s="3"/>
      <c r="R208" s="3"/>
      <c r="S208" s="3"/>
      <c r="T208" s="3"/>
      <c r="U208" s="3"/>
      <c r="V208" s="3"/>
      <c r="W208" s="3"/>
      <c r="X208" s="3"/>
      <c r="Y208" s="3"/>
      <c r="Z208" s="3"/>
      <c r="AA208" s="3"/>
      <c r="AB208" s="3"/>
      <c r="AC208" s="3"/>
      <c r="AD208" s="3"/>
      <c r="AE208" s="3"/>
      <c r="AF208" s="3"/>
    </row>
    <row r="209" spans="1:32" x14ac:dyDescent="0.45">
      <c r="A209" s="3"/>
      <c r="B209" s="3"/>
      <c r="C209" s="3"/>
      <c r="D209" s="3"/>
      <c r="E209" s="3"/>
      <c r="F209" s="3"/>
      <c r="G209" s="3"/>
      <c r="H209" s="3"/>
      <c r="I209" s="3"/>
      <c r="J209" s="3"/>
      <c r="K209" s="222" t="s">
        <v>177</v>
      </c>
      <c r="L209" s="223" t="s">
        <v>715</v>
      </c>
      <c r="M209" s="223" t="s">
        <v>544</v>
      </c>
      <c r="N209" s="223">
        <v>0</v>
      </c>
      <c r="O209" s="226">
        <v>89000</v>
      </c>
      <c r="P209" s="3"/>
      <c r="Q209" s="3"/>
      <c r="R209" s="3"/>
      <c r="S209" s="3"/>
      <c r="T209" s="3"/>
      <c r="U209" s="3"/>
      <c r="V209" s="3"/>
      <c r="W209" s="3"/>
      <c r="X209" s="3"/>
      <c r="Y209" s="3"/>
      <c r="Z209" s="3"/>
      <c r="AA209" s="3"/>
      <c r="AB209" s="3"/>
      <c r="AC209" s="3"/>
      <c r="AD209" s="3"/>
      <c r="AE209" s="3"/>
      <c r="AF209" s="3"/>
    </row>
    <row r="210" spans="1:32" x14ac:dyDescent="0.45">
      <c r="A210" s="3"/>
      <c r="B210" s="3"/>
      <c r="C210" s="3"/>
      <c r="D210" s="3"/>
      <c r="E210" s="3"/>
      <c r="F210" s="3"/>
      <c r="G210" s="3"/>
      <c r="H210" s="3"/>
      <c r="I210" s="3"/>
      <c r="J210" s="3"/>
      <c r="K210" s="222" t="s">
        <v>177</v>
      </c>
      <c r="L210" s="223" t="s">
        <v>716</v>
      </c>
      <c r="M210" s="223" t="s">
        <v>540</v>
      </c>
      <c r="N210" s="223">
        <v>0.57699999999999996</v>
      </c>
      <c r="O210" s="226">
        <v>106000</v>
      </c>
      <c r="P210" s="3"/>
      <c r="Q210" s="3"/>
      <c r="R210" s="3"/>
      <c r="S210" s="3"/>
      <c r="T210" s="3"/>
      <c r="U210" s="3"/>
      <c r="V210" s="3"/>
      <c r="W210" s="3"/>
      <c r="X210" s="3"/>
      <c r="Y210" s="3"/>
      <c r="Z210" s="3"/>
      <c r="AA210" s="3"/>
      <c r="AB210" s="3"/>
      <c r="AC210" s="3"/>
      <c r="AD210" s="3"/>
      <c r="AE210" s="3"/>
      <c r="AF210" s="3"/>
    </row>
    <row r="211" spans="1:32" x14ac:dyDescent="0.45">
      <c r="A211" s="3"/>
      <c r="B211" s="3"/>
      <c r="C211" s="3"/>
      <c r="D211" s="3"/>
      <c r="E211" s="3"/>
      <c r="F211" s="3"/>
      <c r="G211" s="3"/>
      <c r="H211" s="3"/>
      <c r="I211" s="3"/>
      <c r="J211" s="3"/>
      <c r="K211" s="222" t="s">
        <v>177</v>
      </c>
      <c r="L211" s="223" t="s">
        <v>717</v>
      </c>
      <c r="M211" s="223" t="s">
        <v>533</v>
      </c>
      <c r="N211" s="223">
        <v>1.1970000000000001</v>
      </c>
      <c r="O211" s="226">
        <v>0</v>
      </c>
      <c r="P211" s="3"/>
      <c r="Q211" s="3"/>
      <c r="R211" s="3"/>
      <c r="S211" s="3"/>
      <c r="T211" s="3"/>
      <c r="U211" s="3"/>
      <c r="V211" s="3"/>
      <c r="W211" s="3"/>
      <c r="X211" s="3"/>
      <c r="Y211" s="3"/>
      <c r="Z211" s="3"/>
      <c r="AA211" s="3"/>
      <c r="AB211" s="3"/>
      <c r="AC211" s="3"/>
      <c r="AD211" s="3"/>
      <c r="AE211" s="3"/>
      <c r="AF211" s="3"/>
    </row>
    <row r="212" spans="1:32" x14ac:dyDescent="0.45">
      <c r="A212" s="3"/>
      <c r="B212" s="3"/>
      <c r="C212" s="3"/>
      <c r="D212" s="3"/>
      <c r="E212" s="3"/>
      <c r="F212" s="3"/>
      <c r="G212" s="3"/>
      <c r="H212" s="3"/>
      <c r="I212" s="3"/>
      <c r="J212" s="3"/>
      <c r="K212" s="222" t="s">
        <v>177</v>
      </c>
      <c r="L212" s="223" t="s">
        <v>718</v>
      </c>
      <c r="M212" s="223" t="s">
        <v>540</v>
      </c>
      <c r="N212" s="223">
        <v>0.56000000000000005</v>
      </c>
      <c r="O212" s="226">
        <v>116000</v>
      </c>
      <c r="P212" s="3"/>
      <c r="Q212" s="3"/>
      <c r="R212" s="3"/>
      <c r="S212" s="3"/>
      <c r="T212" s="3"/>
      <c r="U212" s="3"/>
      <c r="V212" s="3"/>
      <c r="W212" s="3"/>
      <c r="X212" s="3"/>
      <c r="Y212" s="3"/>
      <c r="Z212" s="3"/>
      <c r="AA212" s="3"/>
      <c r="AB212" s="3"/>
      <c r="AC212" s="3"/>
      <c r="AD212" s="3"/>
      <c r="AE212" s="3"/>
      <c r="AF212" s="3"/>
    </row>
    <row r="213" spans="1:32" x14ac:dyDescent="0.45">
      <c r="A213" s="3"/>
      <c r="B213" s="3"/>
      <c r="C213" s="3"/>
      <c r="D213" s="3"/>
      <c r="E213" s="3"/>
      <c r="F213" s="3"/>
      <c r="G213" s="3"/>
      <c r="H213" s="3"/>
      <c r="I213" s="3"/>
      <c r="J213" s="3"/>
      <c r="K213" s="222" t="s">
        <v>492</v>
      </c>
      <c r="L213" s="223" t="s">
        <v>719</v>
      </c>
      <c r="M213" s="223" t="s">
        <v>540</v>
      </c>
      <c r="N213" s="223">
        <v>0.63700000000000001</v>
      </c>
      <c r="O213" s="226">
        <v>74000</v>
      </c>
      <c r="P213" s="3"/>
      <c r="Q213" s="3"/>
      <c r="R213" s="3"/>
      <c r="S213" s="3"/>
      <c r="T213" s="3"/>
      <c r="U213" s="3"/>
      <c r="V213" s="3"/>
      <c r="W213" s="3"/>
      <c r="X213" s="3"/>
      <c r="Y213" s="3"/>
      <c r="Z213" s="3"/>
      <c r="AA213" s="3"/>
      <c r="AB213" s="3"/>
      <c r="AC213" s="3"/>
      <c r="AD213" s="3"/>
      <c r="AE213" s="3"/>
      <c r="AF213" s="3"/>
    </row>
    <row r="214" spans="1:32" x14ac:dyDescent="0.45">
      <c r="A214" s="3"/>
      <c r="B214" s="3"/>
      <c r="C214" s="3"/>
      <c r="D214" s="3"/>
      <c r="E214" s="3"/>
      <c r="F214" s="3"/>
      <c r="G214" s="3"/>
      <c r="H214" s="3"/>
      <c r="I214" s="3"/>
      <c r="J214" s="3"/>
      <c r="K214" s="222" t="s">
        <v>492</v>
      </c>
      <c r="L214" s="223" t="s">
        <v>720</v>
      </c>
      <c r="M214" s="223" t="s">
        <v>540</v>
      </c>
      <c r="N214" s="223">
        <v>0.61599999999999999</v>
      </c>
      <c r="O214" s="226">
        <v>105000</v>
      </c>
      <c r="P214" s="3"/>
      <c r="Q214" s="3"/>
      <c r="R214" s="3"/>
      <c r="S214" s="3"/>
      <c r="T214" s="3"/>
      <c r="U214" s="3"/>
      <c r="V214" s="3"/>
      <c r="W214" s="3"/>
      <c r="X214" s="3"/>
      <c r="Y214" s="3"/>
      <c r="Z214" s="3"/>
      <c r="AA214" s="3"/>
      <c r="AB214" s="3"/>
      <c r="AC214" s="3"/>
      <c r="AD214" s="3"/>
      <c r="AE214" s="3"/>
      <c r="AF214" s="3"/>
    </row>
    <row r="215" spans="1:32" x14ac:dyDescent="0.45">
      <c r="A215" s="3"/>
      <c r="B215" s="3"/>
      <c r="C215" s="3"/>
      <c r="D215" s="3"/>
      <c r="E215" s="3"/>
      <c r="F215" s="3"/>
      <c r="G215" s="3"/>
      <c r="H215" s="3"/>
      <c r="I215" s="3"/>
      <c r="J215" s="3"/>
      <c r="K215" s="222" t="s">
        <v>492</v>
      </c>
      <c r="L215" s="223" t="s">
        <v>721</v>
      </c>
      <c r="M215" s="223" t="s">
        <v>540</v>
      </c>
      <c r="N215" s="223">
        <v>0.36899999999999999</v>
      </c>
      <c r="O215" s="226">
        <v>450000</v>
      </c>
      <c r="P215" s="3"/>
      <c r="Q215" s="3"/>
      <c r="R215" s="3"/>
      <c r="S215" s="3"/>
      <c r="T215" s="3"/>
      <c r="U215" s="3"/>
      <c r="V215" s="3"/>
      <c r="W215" s="3"/>
      <c r="X215" s="3"/>
      <c r="Y215" s="3"/>
      <c r="Z215" s="3"/>
      <c r="AA215" s="3"/>
      <c r="AB215" s="3"/>
      <c r="AC215" s="3"/>
      <c r="AD215" s="3"/>
      <c r="AE215" s="3"/>
      <c r="AF215" s="3"/>
    </row>
    <row r="216" spans="1:32" x14ac:dyDescent="0.45">
      <c r="A216" s="3"/>
      <c r="B216" s="3"/>
      <c r="C216" s="3"/>
      <c r="D216" s="3"/>
      <c r="E216" s="3"/>
      <c r="F216" s="3"/>
      <c r="G216" s="3"/>
      <c r="H216" s="3"/>
      <c r="I216" s="3"/>
      <c r="J216" s="3"/>
      <c r="K216" s="222" t="s">
        <v>492</v>
      </c>
      <c r="L216" s="223" t="s">
        <v>722</v>
      </c>
      <c r="M216" s="223" t="s">
        <v>540</v>
      </c>
      <c r="N216" s="223">
        <v>0.61599999999999999</v>
      </c>
      <c r="O216" s="226">
        <v>120000</v>
      </c>
      <c r="P216" s="3"/>
      <c r="Q216" s="3"/>
      <c r="R216" s="3"/>
      <c r="S216" s="3"/>
      <c r="T216" s="3"/>
      <c r="U216" s="3"/>
      <c r="V216" s="3"/>
      <c r="W216" s="3"/>
      <c r="X216" s="3"/>
      <c r="Y216" s="3"/>
      <c r="Z216" s="3"/>
      <c r="AA216" s="3"/>
      <c r="AB216" s="3"/>
      <c r="AC216" s="3"/>
      <c r="AD216" s="3"/>
      <c r="AE216" s="3"/>
      <c r="AF216" s="3"/>
    </row>
    <row r="217" spans="1:32" x14ac:dyDescent="0.45">
      <c r="A217" s="3"/>
      <c r="B217" s="3"/>
      <c r="C217" s="3"/>
      <c r="D217" s="3"/>
      <c r="E217" s="3"/>
      <c r="F217" s="3"/>
      <c r="G217" s="3"/>
      <c r="H217" s="3"/>
      <c r="I217" s="3"/>
      <c r="J217" s="3"/>
      <c r="K217" s="222" t="s">
        <v>492</v>
      </c>
      <c r="L217" s="223" t="s">
        <v>723</v>
      </c>
      <c r="M217" s="223" t="s">
        <v>540</v>
      </c>
      <c r="N217" s="223">
        <v>0.61599999999999999</v>
      </c>
      <c r="O217" s="226">
        <v>44000</v>
      </c>
      <c r="P217" s="3"/>
      <c r="Q217" s="3"/>
      <c r="R217" s="3"/>
      <c r="S217" s="3"/>
      <c r="T217" s="3"/>
      <c r="U217" s="3"/>
      <c r="V217" s="3"/>
      <c r="W217" s="3"/>
      <c r="X217" s="3"/>
      <c r="Y217" s="3"/>
      <c r="Z217" s="3"/>
      <c r="AA217" s="3"/>
      <c r="AB217" s="3"/>
      <c r="AC217" s="3"/>
      <c r="AD217" s="3"/>
      <c r="AE217" s="3"/>
      <c r="AF217" s="3"/>
    </row>
    <row r="218" spans="1:32" x14ac:dyDescent="0.45">
      <c r="A218" s="3"/>
      <c r="B218" s="3"/>
      <c r="C218" s="3"/>
      <c r="D218" s="3"/>
      <c r="E218" s="3"/>
      <c r="F218" s="3"/>
      <c r="G218" s="3"/>
      <c r="H218" s="3"/>
      <c r="I218" s="3"/>
      <c r="J218" s="3"/>
      <c r="K218" s="222" t="s">
        <v>492</v>
      </c>
      <c r="L218" s="223" t="s">
        <v>724</v>
      </c>
      <c r="M218" s="223" t="s">
        <v>540</v>
      </c>
      <c r="N218" s="223">
        <v>0.46200000000000002</v>
      </c>
      <c r="O218" s="226">
        <v>86000</v>
      </c>
      <c r="P218" s="3"/>
      <c r="Q218" s="3"/>
      <c r="R218" s="3"/>
      <c r="S218" s="3"/>
      <c r="T218" s="3"/>
      <c r="U218" s="3"/>
      <c r="V218" s="3"/>
      <c r="W218" s="3"/>
      <c r="X218" s="3"/>
      <c r="Y218" s="3"/>
      <c r="Z218" s="3"/>
      <c r="AA218" s="3"/>
      <c r="AB218" s="3"/>
      <c r="AC218" s="3"/>
      <c r="AD218" s="3"/>
      <c r="AE218" s="3"/>
      <c r="AF218" s="3"/>
    </row>
    <row r="219" spans="1:32" x14ac:dyDescent="0.45">
      <c r="A219" s="3"/>
      <c r="B219" s="3"/>
      <c r="C219" s="3"/>
      <c r="D219" s="3"/>
      <c r="E219" s="3"/>
      <c r="F219" s="3"/>
      <c r="G219" s="3"/>
      <c r="H219" s="3"/>
      <c r="I219" s="3"/>
      <c r="J219" s="3"/>
      <c r="K219" s="222" t="s">
        <v>492</v>
      </c>
      <c r="L219" s="223" t="s">
        <v>725</v>
      </c>
      <c r="M219" s="223" t="s">
        <v>548</v>
      </c>
      <c r="N219" s="223">
        <v>0.84299999999999997</v>
      </c>
      <c r="O219" s="226">
        <v>20000</v>
      </c>
      <c r="P219" s="3"/>
      <c r="Q219" s="3"/>
      <c r="R219" s="3"/>
      <c r="S219" s="3"/>
      <c r="T219" s="3"/>
      <c r="U219" s="3"/>
      <c r="V219" s="3"/>
      <c r="W219" s="3"/>
      <c r="X219" s="3"/>
      <c r="Y219" s="3"/>
      <c r="Z219" s="3"/>
      <c r="AA219" s="3"/>
      <c r="AB219" s="3"/>
      <c r="AC219" s="3"/>
      <c r="AD219" s="3"/>
      <c r="AE219" s="3"/>
      <c r="AF219" s="3"/>
    </row>
    <row r="220" spans="1:32" x14ac:dyDescent="0.45">
      <c r="A220" s="3"/>
      <c r="B220" s="3"/>
      <c r="C220" s="3"/>
      <c r="D220" s="3"/>
      <c r="E220" s="3"/>
      <c r="F220" s="3"/>
      <c r="G220" s="3"/>
      <c r="H220" s="3"/>
      <c r="I220" s="3"/>
      <c r="J220" s="3"/>
      <c r="K220" s="222" t="s">
        <v>492</v>
      </c>
      <c r="L220" s="223" t="s">
        <v>726</v>
      </c>
      <c r="M220" s="223" t="s">
        <v>540</v>
      </c>
      <c r="N220" s="223">
        <v>0.63700000000000001</v>
      </c>
      <c r="O220" s="226">
        <v>180000</v>
      </c>
      <c r="P220" s="3"/>
      <c r="Q220" s="3"/>
      <c r="R220" s="3"/>
      <c r="S220" s="3"/>
      <c r="T220" s="3"/>
      <c r="U220" s="3"/>
      <c r="V220" s="3"/>
      <c r="W220" s="3"/>
      <c r="X220" s="3"/>
      <c r="Y220" s="3"/>
      <c r="Z220" s="3"/>
      <c r="AA220" s="3"/>
      <c r="AB220" s="3"/>
      <c r="AC220" s="3"/>
      <c r="AD220" s="3"/>
      <c r="AE220" s="3"/>
      <c r="AF220" s="3"/>
    </row>
    <row r="221" spans="1:32" x14ac:dyDescent="0.45">
      <c r="A221" s="3"/>
      <c r="B221" s="3"/>
      <c r="C221" s="3"/>
      <c r="D221" s="3"/>
      <c r="E221" s="3"/>
      <c r="F221" s="3"/>
      <c r="G221" s="3"/>
      <c r="H221" s="3"/>
      <c r="I221" s="3"/>
      <c r="J221" s="3"/>
      <c r="K221" s="222" t="s">
        <v>54</v>
      </c>
      <c r="L221" s="223" t="s">
        <v>727</v>
      </c>
      <c r="M221" s="223" t="s">
        <v>548</v>
      </c>
      <c r="N221" s="223">
        <v>1.0189999999999999</v>
      </c>
      <c r="O221" s="226">
        <v>30000</v>
      </c>
      <c r="P221" s="3"/>
      <c r="Q221" s="3"/>
      <c r="R221" s="3"/>
      <c r="S221" s="3"/>
      <c r="T221" s="3"/>
      <c r="U221" s="3"/>
      <c r="V221" s="3"/>
      <c r="W221" s="3"/>
      <c r="X221" s="3"/>
      <c r="Y221" s="3"/>
      <c r="Z221" s="3"/>
      <c r="AA221" s="3"/>
      <c r="AB221" s="3"/>
      <c r="AC221" s="3"/>
      <c r="AD221" s="3"/>
      <c r="AE221" s="3"/>
      <c r="AF221" s="3"/>
    </row>
    <row r="222" spans="1:32" x14ac:dyDescent="0.45">
      <c r="A222" s="3"/>
      <c r="B222" s="3"/>
      <c r="C222" s="3"/>
      <c r="D222" s="3"/>
      <c r="E222" s="3"/>
      <c r="F222" s="3"/>
      <c r="G222" s="3"/>
      <c r="H222" s="3"/>
      <c r="I222" s="3"/>
      <c r="J222" s="3"/>
      <c r="K222" s="222" t="s">
        <v>54</v>
      </c>
      <c r="L222" s="223" t="s">
        <v>728</v>
      </c>
      <c r="M222" s="223" t="s">
        <v>540</v>
      </c>
      <c r="N222" s="223">
        <v>0.68400000000000005</v>
      </c>
      <c r="O222" s="226">
        <v>95000</v>
      </c>
      <c r="P222" s="3"/>
      <c r="Q222" s="3"/>
      <c r="R222" s="3"/>
      <c r="S222" s="3"/>
      <c r="T222" s="3"/>
      <c r="U222" s="3"/>
      <c r="V222" s="3"/>
      <c r="W222" s="3"/>
      <c r="X222" s="3"/>
      <c r="Y222" s="3"/>
      <c r="Z222" s="3"/>
      <c r="AA222" s="3"/>
      <c r="AB222" s="3"/>
      <c r="AC222" s="3"/>
      <c r="AD222" s="3"/>
      <c r="AE222" s="3"/>
      <c r="AF222" s="3"/>
    </row>
    <row r="223" spans="1:32" x14ac:dyDescent="0.45">
      <c r="A223" s="3"/>
      <c r="B223" s="3"/>
      <c r="C223" s="3"/>
      <c r="D223" s="3"/>
      <c r="E223" s="3"/>
      <c r="F223" s="3"/>
      <c r="G223" s="3"/>
      <c r="H223" s="3"/>
      <c r="I223" s="3"/>
      <c r="J223" s="3"/>
      <c r="K223" s="222" t="s">
        <v>54</v>
      </c>
      <c r="L223" s="223" t="s">
        <v>729</v>
      </c>
      <c r="M223" s="223" t="s">
        <v>540</v>
      </c>
      <c r="N223" s="223">
        <v>0.38500000000000001</v>
      </c>
      <c r="O223" s="226">
        <v>95000</v>
      </c>
      <c r="P223" s="3"/>
      <c r="Q223" s="3"/>
      <c r="R223" s="3"/>
      <c r="S223" s="3"/>
      <c r="T223" s="3"/>
      <c r="U223" s="3"/>
      <c r="V223" s="3"/>
      <c r="W223" s="3"/>
      <c r="X223" s="3"/>
      <c r="Y223" s="3"/>
      <c r="Z223" s="3"/>
      <c r="AA223" s="3"/>
      <c r="AB223" s="3"/>
      <c r="AC223" s="3"/>
      <c r="AD223" s="3"/>
      <c r="AE223" s="3"/>
      <c r="AF223" s="3"/>
    </row>
    <row r="224" spans="1:32" x14ac:dyDescent="0.45">
      <c r="A224" s="3"/>
      <c r="B224" s="3"/>
      <c r="C224" s="3"/>
      <c r="D224" s="3"/>
      <c r="E224" s="3"/>
      <c r="F224" s="3"/>
      <c r="G224" s="3"/>
      <c r="H224" s="3"/>
      <c r="I224" s="3"/>
      <c r="J224" s="3"/>
      <c r="K224" s="222" t="s">
        <v>54</v>
      </c>
      <c r="L224" s="223" t="s">
        <v>730</v>
      </c>
      <c r="M224" s="223" t="s">
        <v>540</v>
      </c>
      <c r="N224" s="223">
        <v>0.499</v>
      </c>
      <c r="O224" s="226">
        <v>42000</v>
      </c>
      <c r="P224" s="3"/>
      <c r="Q224" s="3"/>
      <c r="R224" s="3"/>
      <c r="S224" s="3"/>
      <c r="T224" s="3"/>
      <c r="U224" s="3"/>
      <c r="V224" s="3"/>
      <c r="W224" s="3"/>
      <c r="X224" s="3"/>
      <c r="Y224" s="3"/>
      <c r="Z224" s="3"/>
      <c r="AA224" s="3"/>
      <c r="AB224" s="3"/>
      <c r="AC224" s="3"/>
      <c r="AD224" s="3"/>
      <c r="AE224" s="3"/>
      <c r="AF224" s="3"/>
    </row>
    <row r="225" spans="1:32" x14ac:dyDescent="0.45">
      <c r="A225" s="3"/>
      <c r="B225" s="3"/>
      <c r="C225" s="3"/>
      <c r="D225" s="3"/>
      <c r="E225" s="3"/>
      <c r="F225" s="3"/>
      <c r="G225" s="3"/>
      <c r="H225" s="3"/>
      <c r="I225" s="3"/>
      <c r="J225" s="3"/>
      <c r="K225" s="222" t="s">
        <v>54</v>
      </c>
      <c r="L225" s="223" t="s">
        <v>731</v>
      </c>
      <c r="M225" s="223" t="s">
        <v>540</v>
      </c>
      <c r="N225" s="223">
        <v>0.499</v>
      </c>
      <c r="O225" s="226">
        <v>90000</v>
      </c>
      <c r="P225" s="3"/>
      <c r="Q225" s="3"/>
      <c r="R225" s="3"/>
      <c r="S225" s="3"/>
      <c r="T225" s="3"/>
      <c r="U225" s="3"/>
      <c r="V225" s="3"/>
      <c r="W225" s="3"/>
      <c r="X225" s="3"/>
      <c r="Y225" s="3"/>
      <c r="Z225" s="3"/>
      <c r="AA225" s="3"/>
      <c r="AB225" s="3"/>
      <c r="AC225" s="3"/>
      <c r="AD225" s="3"/>
      <c r="AE225" s="3"/>
      <c r="AF225" s="3"/>
    </row>
    <row r="226" spans="1:32" x14ac:dyDescent="0.45">
      <c r="A226" s="3"/>
      <c r="B226" s="3"/>
      <c r="C226" s="3"/>
      <c r="D226" s="3"/>
      <c r="E226" s="3"/>
      <c r="F226" s="3"/>
      <c r="G226" s="3"/>
      <c r="H226" s="3"/>
      <c r="I226" s="3"/>
      <c r="J226" s="3"/>
      <c r="K226" s="222" t="s">
        <v>54</v>
      </c>
      <c r="L226" s="223" t="s">
        <v>732</v>
      </c>
      <c r="M226" s="223" t="s">
        <v>540</v>
      </c>
      <c r="N226" s="223">
        <v>0.73899999999999999</v>
      </c>
      <c r="O226" s="226">
        <v>34000</v>
      </c>
      <c r="P226" s="3"/>
      <c r="Q226" s="3"/>
      <c r="R226" s="3"/>
      <c r="S226" s="3"/>
      <c r="T226" s="3"/>
      <c r="U226" s="3"/>
      <c r="V226" s="3"/>
      <c r="W226" s="3"/>
      <c r="X226" s="3"/>
      <c r="Y226" s="3"/>
      <c r="Z226" s="3"/>
      <c r="AA226" s="3"/>
      <c r="AB226" s="3"/>
      <c r="AC226" s="3"/>
      <c r="AD226" s="3"/>
      <c r="AE226" s="3"/>
      <c r="AF226" s="3"/>
    </row>
    <row r="227" spans="1:32" x14ac:dyDescent="0.45">
      <c r="A227" s="3"/>
      <c r="B227" s="3"/>
      <c r="C227" s="3"/>
      <c r="D227" s="3"/>
      <c r="E227" s="3"/>
      <c r="F227" s="3"/>
      <c r="G227" s="3"/>
      <c r="H227" s="3"/>
      <c r="I227" s="3"/>
      <c r="J227" s="3"/>
      <c r="K227" s="222" t="s">
        <v>54</v>
      </c>
      <c r="L227" s="223" t="s">
        <v>733</v>
      </c>
      <c r="M227" s="223" t="s">
        <v>682</v>
      </c>
      <c r="N227" s="223">
        <v>0</v>
      </c>
      <c r="O227" s="226">
        <v>1000</v>
      </c>
      <c r="P227" s="3"/>
      <c r="Q227" s="3"/>
      <c r="R227" s="3"/>
      <c r="S227" s="3"/>
      <c r="T227" s="3"/>
      <c r="U227" s="3"/>
      <c r="V227" s="3"/>
      <c r="W227" s="3"/>
      <c r="X227" s="3"/>
      <c r="Y227" s="3"/>
      <c r="Z227" s="3"/>
      <c r="AA227" s="3"/>
      <c r="AB227" s="3"/>
      <c r="AC227" s="3"/>
      <c r="AD227" s="3"/>
      <c r="AE227" s="3"/>
      <c r="AF227" s="3"/>
    </row>
    <row r="228" spans="1:32" x14ac:dyDescent="0.45">
      <c r="A228" s="3"/>
      <c r="B228" s="3"/>
      <c r="C228" s="3"/>
      <c r="D228" s="3"/>
      <c r="E228" s="3"/>
      <c r="F228" s="3"/>
      <c r="G228" s="3"/>
      <c r="H228" s="3"/>
      <c r="I228" s="3"/>
      <c r="J228" s="3"/>
      <c r="K228" s="222" t="s">
        <v>54</v>
      </c>
      <c r="L228" s="223" t="s">
        <v>734</v>
      </c>
      <c r="M228" s="223" t="s">
        <v>540</v>
      </c>
      <c r="N228" s="223">
        <v>0.39300000000000002</v>
      </c>
      <c r="O228" s="226">
        <v>27000</v>
      </c>
      <c r="P228" s="3"/>
      <c r="Q228" s="3"/>
      <c r="R228" s="3"/>
      <c r="S228" s="3"/>
      <c r="T228" s="3"/>
      <c r="U228" s="3"/>
      <c r="V228" s="3"/>
      <c r="W228" s="3"/>
      <c r="X228" s="3"/>
      <c r="Y228" s="3"/>
      <c r="Z228" s="3"/>
      <c r="AA228" s="3"/>
      <c r="AB228" s="3"/>
      <c r="AC228" s="3"/>
      <c r="AD228" s="3"/>
      <c r="AE228" s="3"/>
      <c r="AF228" s="3"/>
    </row>
    <row r="229" spans="1:32" x14ac:dyDescent="0.45">
      <c r="A229" s="3"/>
      <c r="B229" s="3"/>
      <c r="C229" s="3"/>
      <c r="D229" s="3"/>
      <c r="E229" s="3"/>
      <c r="F229" s="3"/>
      <c r="G229" s="3"/>
      <c r="H229" s="3"/>
      <c r="I229" s="3"/>
      <c r="J229" s="3"/>
      <c r="K229" s="224" t="s">
        <v>54</v>
      </c>
      <c r="L229" s="225" t="s">
        <v>735</v>
      </c>
      <c r="M229" s="225" t="s">
        <v>540</v>
      </c>
      <c r="N229" s="225">
        <v>0.52800000000000002</v>
      </c>
      <c r="O229" s="227">
        <v>128000</v>
      </c>
      <c r="P229" s="3"/>
      <c r="Q229" s="3"/>
      <c r="R229" s="3"/>
      <c r="S229" s="3"/>
      <c r="T229" s="3"/>
      <c r="U229" s="3"/>
      <c r="V229" s="3"/>
      <c r="W229" s="3"/>
      <c r="X229" s="3"/>
      <c r="Y229" s="3"/>
      <c r="Z229" s="3"/>
      <c r="AA229" s="3"/>
      <c r="AB229" s="3"/>
      <c r="AC229" s="3"/>
      <c r="AD229" s="3"/>
      <c r="AE229" s="3"/>
      <c r="AF229" s="3"/>
    </row>
    <row r="230" spans="1:32" x14ac:dyDescent="0.45">
      <c r="A230" s="3"/>
      <c r="B230" s="3"/>
      <c r="C230" s="3"/>
      <c r="D230" s="3"/>
      <c r="E230" s="3"/>
      <c r="F230" s="3"/>
      <c r="G230" s="3"/>
      <c r="H230" s="3"/>
      <c r="I230" s="3"/>
      <c r="J230" s="3"/>
      <c r="K230" s="13" t="s">
        <v>736</v>
      </c>
      <c r="L230" s="3"/>
      <c r="M230" s="3"/>
      <c r="N230" s="3"/>
      <c r="O230" s="3"/>
      <c r="P230" s="3"/>
      <c r="Q230" s="3"/>
      <c r="R230" s="3"/>
      <c r="S230" s="3"/>
      <c r="T230" s="3"/>
      <c r="U230" s="3"/>
      <c r="V230" s="3"/>
      <c r="W230" s="3"/>
      <c r="X230" s="3"/>
      <c r="Y230" s="3"/>
      <c r="Z230" s="3"/>
      <c r="AA230" s="3"/>
      <c r="AB230" s="3"/>
      <c r="AC230" s="3"/>
      <c r="AD230" s="3"/>
      <c r="AE230" s="3"/>
      <c r="AF230" s="3"/>
    </row>
    <row r="231" spans="1:32" x14ac:dyDescent="0.4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4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4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4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4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4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4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4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4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4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4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4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45">
      <c r="K243" s="3"/>
      <c r="L243" s="3"/>
      <c r="M243" s="3"/>
      <c r="N243" s="3"/>
      <c r="O243" s="3"/>
      <c r="P243" s="3"/>
      <c r="Q243" s="3"/>
      <c r="R243" s="3"/>
      <c r="S243" s="3"/>
      <c r="T243" s="3"/>
    </row>
    <row r="244" spans="1:32" x14ac:dyDescent="0.45">
      <c r="K244" s="3"/>
      <c r="L244" s="3"/>
      <c r="M244" s="3"/>
      <c r="N244" s="3"/>
      <c r="O244" s="3"/>
      <c r="P244" s="3"/>
      <c r="Q244" s="3"/>
      <c r="R244" s="3"/>
      <c r="S244" s="3"/>
      <c r="T244" s="3"/>
    </row>
    <row r="245" spans="1:32" x14ac:dyDescent="0.45">
      <c r="K245" s="3"/>
      <c r="L245" s="3"/>
      <c r="M245" s="3"/>
      <c r="N245" s="3"/>
      <c r="O245" s="3"/>
      <c r="P245" s="3"/>
      <c r="Q245" s="3"/>
      <c r="R245" s="3"/>
      <c r="S245" s="3"/>
      <c r="T245" s="3"/>
    </row>
  </sheetData>
  <sheetProtection sheet="1" objects="1" scenarios="1"/>
  <phoneticPr fontId="12" type="noConversion"/>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2"/>
  <sheetViews>
    <sheetView workbookViewId="0"/>
  </sheetViews>
  <sheetFormatPr defaultColWidth="10.86328125" defaultRowHeight="12.75" x14ac:dyDescent="0.35"/>
  <cols>
    <col min="1" max="1" width="2.1328125" style="479" customWidth="1"/>
    <col min="2" max="2" width="35.73046875" style="479" customWidth="1"/>
    <col min="3" max="3" width="24.86328125" style="479" customWidth="1"/>
    <col min="4" max="8" width="10.86328125" style="479"/>
    <col min="9" max="9" width="53.1328125" style="479" customWidth="1"/>
    <col min="10" max="16384" width="10.86328125" style="479"/>
  </cols>
  <sheetData>
    <row r="1" spans="1:9" ht="17.25" x14ac:dyDescent="0.45">
      <c r="A1" s="478" t="s">
        <v>403</v>
      </c>
    </row>
    <row r="2" spans="1:9" ht="17.25" x14ac:dyDescent="0.45">
      <c r="B2" s="331" t="s">
        <v>385</v>
      </c>
      <c r="C2" s="131"/>
      <c r="D2" s="131"/>
      <c r="E2" s="131"/>
      <c r="F2" s="131"/>
      <c r="G2" s="131"/>
      <c r="H2" s="131"/>
      <c r="I2" s="325"/>
    </row>
    <row r="3" spans="1:9" ht="15.4" x14ac:dyDescent="0.45">
      <c r="B3" s="129" t="s">
        <v>56</v>
      </c>
      <c r="C3" s="130"/>
      <c r="D3" s="130"/>
      <c r="E3" s="130"/>
      <c r="F3" s="129" t="s">
        <v>55</v>
      </c>
      <c r="G3" s="130"/>
      <c r="H3" s="130"/>
      <c r="I3" s="353" t="s">
        <v>381</v>
      </c>
    </row>
    <row r="4" spans="1:9" ht="15.4" x14ac:dyDescent="0.45">
      <c r="B4" s="334"/>
      <c r="C4" s="132"/>
      <c r="D4" s="132"/>
      <c r="E4" s="132"/>
      <c r="F4" s="334"/>
      <c r="G4" s="132"/>
      <c r="H4" s="132"/>
      <c r="I4" s="353"/>
    </row>
    <row r="5" spans="1:9" ht="15.4" x14ac:dyDescent="0.45">
      <c r="B5" s="334" t="s">
        <v>407</v>
      </c>
      <c r="C5" s="132">
        <f>'Data input'!D99</f>
        <v>0</v>
      </c>
      <c r="D5" s="132"/>
      <c r="E5" s="132"/>
      <c r="F5" s="334" t="s">
        <v>408</v>
      </c>
      <c r="G5" s="132"/>
      <c r="H5" s="132"/>
      <c r="I5" s="332"/>
    </row>
    <row r="6" spans="1:9" ht="15.4" x14ac:dyDescent="0.45">
      <c r="B6" s="334"/>
      <c r="C6" s="132"/>
      <c r="D6" s="132"/>
      <c r="E6" s="132"/>
      <c r="F6" s="334"/>
      <c r="G6" s="132"/>
      <c r="H6" s="132"/>
      <c r="I6" s="332"/>
    </row>
    <row r="7" spans="1:9" ht="15.4" x14ac:dyDescent="0.45">
      <c r="B7" s="334" t="s">
        <v>409</v>
      </c>
      <c r="C7" s="132">
        <v>1</v>
      </c>
      <c r="D7" s="132" t="s">
        <v>410</v>
      </c>
      <c r="E7" s="132"/>
      <c r="F7" s="334"/>
      <c r="G7" s="132"/>
      <c r="H7" s="132"/>
      <c r="I7" s="332"/>
    </row>
    <row r="8" spans="1:9" ht="15.4" x14ac:dyDescent="0.45">
      <c r="B8" s="334"/>
      <c r="C8" s="132">
        <v>2</v>
      </c>
      <c r="D8" s="132" t="s">
        <v>411</v>
      </c>
      <c r="E8" s="132"/>
      <c r="F8" s="334"/>
      <c r="G8" s="132"/>
      <c r="H8" s="132"/>
      <c r="I8" s="332"/>
    </row>
    <row r="9" spans="1:9" ht="15.4" x14ac:dyDescent="0.45">
      <c r="B9" s="334"/>
      <c r="C9" s="132">
        <v>3</v>
      </c>
      <c r="D9" s="132" t="s">
        <v>415</v>
      </c>
      <c r="E9" s="132"/>
      <c r="F9" s="334"/>
      <c r="G9" s="132"/>
      <c r="H9" s="132"/>
      <c r="I9" s="332"/>
    </row>
    <row r="10" spans="1:9" ht="15.4" x14ac:dyDescent="0.45">
      <c r="B10" s="334" t="s">
        <v>417</v>
      </c>
      <c r="C10" s="334">
        <f>'Data input'!D101</f>
        <v>1</v>
      </c>
      <c r="D10" s="132"/>
      <c r="E10" s="132"/>
      <c r="F10" s="334"/>
      <c r="G10" s="132"/>
      <c r="H10" s="132"/>
      <c r="I10" s="332"/>
    </row>
    <row r="11" spans="1:9" ht="15.4" x14ac:dyDescent="0.45">
      <c r="B11" s="334"/>
      <c r="C11" s="132"/>
      <c r="D11" s="132"/>
      <c r="E11" s="132"/>
      <c r="F11" s="334"/>
      <c r="G11" s="132"/>
      <c r="H11" s="132"/>
      <c r="I11" s="332"/>
    </row>
    <row r="12" spans="1:9" ht="15.4" x14ac:dyDescent="0.45">
      <c r="B12" s="334" t="s">
        <v>416</v>
      </c>
      <c r="C12" s="132">
        <v>1</v>
      </c>
      <c r="D12" s="132">
        <v>0.78500000000000003</v>
      </c>
      <c r="E12" s="132"/>
      <c r="F12" s="334" t="s">
        <v>418</v>
      </c>
      <c r="G12" s="132"/>
      <c r="H12" s="132"/>
      <c r="I12" s="332"/>
    </row>
    <row r="13" spans="1:9" ht="15.4" x14ac:dyDescent="0.45">
      <c r="B13" s="334"/>
      <c r="C13" s="132">
        <v>2</v>
      </c>
      <c r="D13" s="132">
        <v>1.1100000000000001</v>
      </c>
      <c r="E13" s="132"/>
      <c r="F13" s="334" t="s">
        <v>418</v>
      </c>
      <c r="G13" s="132"/>
      <c r="H13" s="132"/>
      <c r="I13" s="332"/>
    </row>
    <row r="14" spans="1:9" ht="15.4" x14ac:dyDescent="0.45">
      <c r="B14" s="334"/>
      <c r="C14" s="132">
        <v>3</v>
      </c>
      <c r="D14" s="132">
        <v>0.625</v>
      </c>
      <c r="E14" s="132"/>
      <c r="F14" s="334" t="s">
        <v>418</v>
      </c>
      <c r="G14" s="132"/>
      <c r="H14" s="132"/>
      <c r="I14" s="332"/>
    </row>
    <row r="15" spans="1:9" ht="15.4" x14ac:dyDescent="0.45">
      <c r="B15" s="334" t="s">
        <v>419</v>
      </c>
      <c r="C15" s="334">
        <f>C10</f>
        <v>1</v>
      </c>
      <c r="D15" s="334">
        <f>INDEX(D12:D14,MATCH(C15,C12:C14,0))</f>
        <v>0.78500000000000003</v>
      </c>
      <c r="E15" s="334"/>
      <c r="F15" s="334" t="s">
        <v>418</v>
      </c>
      <c r="G15" s="132"/>
      <c r="H15" s="132"/>
      <c r="I15" s="332"/>
    </row>
    <row r="16" spans="1:9" ht="15.4" x14ac:dyDescent="0.45">
      <c r="B16" s="334"/>
      <c r="C16" s="132"/>
      <c r="D16" s="132"/>
      <c r="E16" s="132"/>
      <c r="F16" s="334"/>
      <c r="G16" s="132"/>
      <c r="H16" s="132"/>
      <c r="I16" s="332"/>
    </row>
    <row r="17" spans="2:9" ht="15.4" x14ac:dyDescent="0.45">
      <c r="B17" s="334" t="s">
        <v>425</v>
      </c>
      <c r="C17" s="334" t="s">
        <v>424</v>
      </c>
      <c r="D17" s="132">
        <f>(D15*C5)/1000</f>
        <v>0</v>
      </c>
      <c r="E17" s="132"/>
      <c r="F17" s="334" t="s">
        <v>434</v>
      </c>
      <c r="G17" s="132"/>
      <c r="H17" s="132"/>
      <c r="I17" s="332"/>
    </row>
    <row r="18" spans="2:9" ht="15.4" x14ac:dyDescent="0.45">
      <c r="B18" s="352"/>
      <c r="C18" s="334" t="s">
        <v>426</v>
      </c>
      <c r="D18" s="132">
        <v>38.6</v>
      </c>
      <c r="E18" s="132"/>
      <c r="F18" s="334" t="s">
        <v>427</v>
      </c>
      <c r="G18" s="132"/>
      <c r="H18" s="132"/>
      <c r="I18" s="332"/>
    </row>
    <row r="19" spans="2:9" ht="15.4" x14ac:dyDescent="0.45">
      <c r="B19" s="334"/>
      <c r="C19" s="132" t="s">
        <v>430</v>
      </c>
      <c r="D19" s="132">
        <v>69.2</v>
      </c>
      <c r="E19" s="132"/>
      <c r="F19" s="334" t="s">
        <v>432</v>
      </c>
      <c r="G19" s="132"/>
      <c r="H19" s="132"/>
      <c r="I19" s="332" t="s">
        <v>429</v>
      </c>
    </row>
    <row r="20" spans="2:9" ht="15.4" x14ac:dyDescent="0.45">
      <c r="B20" s="334"/>
      <c r="C20" s="132" t="s">
        <v>431</v>
      </c>
      <c r="D20" s="132">
        <v>0.2</v>
      </c>
      <c r="E20" s="132"/>
      <c r="F20" s="334" t="s">
        <v>432</v>
      </c>
      <c r="G20" s="132"/>
      <c r="H20" s="132"/>
      <c r="I20" s="332" t="s">
        <v>429</v>
      </c>
    </row>
    <row r="21" spans="2:9" ht="15.4" x14ac:dyDescent="0.45">
      <c r="B21" s="334"/>
      <c r="C21" s="132" t="s">
        <v>433</v>
      </c>
      <c r="D21" s="132">
        <v>0.5</v>
      </c>
      <c r="E21" s="132"/>
      <c r="F21" s="334" t="s">
        <v>432</v>
      </c>
      <c r="G21" s="132"/>
      <c r="H21" s="132"/>
      <c r="I21" s="332" t="s">
        <v>429</v>
      </c>
    </row>
    <row r="22" spans="2:9" ht="15.4" x14ac:dyDescent="0.45">
      <c r="B22" s="334"/>
      <c r="C22" s="132"/>
      <c r="D22" s="132"/>
      <c r="E22" s="132"/>
      <c r="F22" s="334"/>
      <c r="G22" s="132"/>
      <c r="H22" s="132"/>
      <c r="I22" s="332"/>
    </row>
    <row r="23" spans="2:9" ht="15.4" x14ac:dyDescent="0.45">
      <c r="B23" s="334"/>
      <c r="C23" s="334" t="s">
        <v>423</v>
      </c>
      <c r="D23" s="132"/>
      <c r="E23" s="132"/>
      <c r="F23" s="334"/>
      <c r="G23" s="132"/>
      <c r="H23" s="132"/>
      <c r="I23" s="332" t="s">
        <v>429</v>
      </c>
    </row>
    <row r="24" spans="2:9" ht="15.4" x14ac:dyDescent="0.45">
      <c r="B24" s="334"/>
      <c r="C24" s="132"/>
      <c r="D24" s="132"/>
      <c r="E24" s="132"/>
      <c r="F24" s="334"/>
      <c r="G24" s="132"/>
      <c r="H24" s="132"/>
      <c r="I24" s="332"/>
    </row>
    <row r="25" spans="2:9" ht="15.4" x14ac:dyDescent="0.45">
      <c r="B25" s="334"/>
      <c r="C25" s="132" t="s">
        <v>438</v>
      </c>
      <c r="D25" s="132"/>
      <c r="E25" s="132"/>
      <c r="F25" s="334"/>
      <c r="G25" s="132"/>
      <c r="H25" s="132"/>
      <c r="I25" s="332"/>
    </row>
    <row r="26" spans="2:9" ht="15.4" x14ac:dyDescent="0.45">
      <c r="B26" s="334"/>
      <c r="C26" s="132" t="s">
        <v>420</v>
      </c>
      <c r="D26" s="132"/>
      <c r="E26" s="132"/>
      <c r="F26" s="334"/>
      <c r="G26" s="132"/>
      <c r="H26" s="132"/>
      <c r="I26" s="332"/>
    </row>
    <row r="27" spans="2:9" ht="15.4" x14ac:dyDescent="0.45">
      <c r="B27" s="334"/>
      <c r="C27" s="132" t="s">
        <v>421</v>
      </c>
      <c r="D27" s="132"/>
      <c r="E27" s="132"/>
      <c r="F27" s="334"/>
      <c r="G27" s="132"/>
      <c r="H27" s="132"/>
      <c r="I27" s="332"/>
    </row>
    <row r="28" spans="2:9" ht="15.4" x14ac:dyDescent="0.45">
      <c r="B28" s="334"/>
      <c r="C28" s="132" t="s">
        <v>422</v>
      </c>
      <c r="D28" s="132"/>
      <c r="E28" s="132"/>
      <c r="F28" s="334"/>
      <c r="G28" s="132"/>
      <c r="H28" s="132"/>
      <c r="I28" s="332"/>
    </row>
    <row r="29" spans="2:9" ht="15.4" x14ac:dyDescent="0.45">
      <c r="B29" s="334"/>
      <c r="C29" s="132"/>
      <c r="D29" s="132"/>
      <c r="E29" s="132"/>
      <c r="F29" s="334"/>
      <c r="G29" s="132"/>
      <c r="H29" s="132"/>
      <c r="I29" s="332"/>
    </row>
    <row r="30" spans="2:9" ht="15.4" x14ac:dyDescent="0.45">
      <c r="B30" s="334" t="s">
        <v>428</v>
      </c>
      <c r="C30" s="132"/>
      <c r="D30" s="336">
        <f>(D17*D18*D19)/1000</f>
        <v>0</v>
      </c>
      <c r="E30" s="132"/>
      <c r="F30" s="334" t="s">
        <v>437</v>
      </c>
      <c r="G30" s="132"/>
      <c r="H30" s="132"/>
      <c r="I30" s="332"/>
    </row>
    <row r="31" spans="2:9" ht="15.4" x14ac:dyDescent="0.45">
      <c r="B31" s="334" t="s">
        <v>435</v>
      </c>
      <c r="C31" s="132"/>
      <c r="D31" s="336">
        <f>(D17*D18*D20)/1000</f>
        <v>0</v>
      </c>
      <c r="E31" s="132"/>
      <c r="F31" s="334" t="s">
        <v>437</v>
      </c>
      <c r="G31" s="132"/>
      <c r="H31" s="132"/>
      <c r="I31" s="332"/>
    </row>
    <row r="32" spans="2:9" ht="15.4" x14ac:dyDescent="0.45">
      <c r="B32" s="133" t="s">
        <v>436</v>
      </c>
      <c r="C32" s="134"/>
      <c r="D32" s="330">
        <f>(D17*D18*D21)/1000</f>
        <v>0</v>
      </c>
      <c r="E32" s="134"/>
      <c r="F32" s="133" t="s">
        <v>437</v>
      </c>
      <c r="G32" s="134"/>
      <c r="H32" s="134"/>
      <c r="I32" s="537"/>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9"/>
  <sheetViews>
    <sheetView workbookViewId="0">
      <selection activeCell="A2" sqref="A2"/>
    </sheetView>
  </sheetViews>
  <sheetFormatPr defaultColWidth="10.86328125" defaultRowHeight="12.75" x14ac:dyDescent="0.35"/>
  <cols>
    <col min="1" max="1" width="4" style="479" customWidth="1"/>
    <col min="2" max="16384" width="10.86328125" style="479"/>
  </cols>
  <sheetData>
    <row r="1" spans="1:4" ht="27.95" customHeight="1" x14ac:dyDescent="0.45">
      <c r="A1" s="478" t="s">
        <v>784</v>
      </c>
    </row>
    <row r="3" spans="1:4" ht="13.15" x14ac:dyDescent="0.4">
      <c r="B3" s="286" t="s">
        <v>369</v>
      </c>
      <c r="C3" s="293" t="s">
        <v>370</v>
      </c>
      <c r="D3" s="287"/>
    </row>
    <row r="4" spans="1:4" x14ac:dyDescent="0.35">
      <c r="B4" s="287" t="s">
        <v>371</v>
      </c>
      <c r="C4" s="287">
        <v>1</v>
      </c>
      <c r="D4" s="287"/>
    </row>
    <row r="5" spans="1:4" x14ac:dyDescent="0.35">
      <c r="B5" s="284" t="s">
        <v>171</v>
      </c>
      <c r="C5" s="284">
        <v>25</v>
      </c>
      <c r="D5" s="284"/>
    </row>
    <row r="6" spans="1:4" x14ac:dyDescent="0.35">
      <c r="B6" s="284" t="s">
        <v>172</v>
      </c>
      <c r="C6" s="284">
        <v>298</v>
      </c>
      <c r="D6" s="284"/>
    </row>
    <row r="7" spans="1:4" x14ac:dyDescent="0.35">
      <c r="B7" s="284" t="s">
        <v>372</v>
      </c>
      <c r="C7" s="285">
        <v>7390</v>
      </c>
      <c r="D7" s="284"/>
    </row>
    <row r="8" spans="1:4" x14ac:dyDescent="0.35">
      <c r="B8" s="284" t="s">
        <v>373</v>
      </c>
      <c r="C8" s="285">
        <v>12200</v>
      </c>
      <c r="D8" s="284"/>
    </row>
    <row r="9" spans="1:4" x14ac:dyDescent="0.35">
      <c r="B9" s="284" t="s">
        <v>374</v>
      </c>
      <c r="C9" s="285">
        <v>22800</v>
      </c>
      <c r="D9" s="284"/>
    </row>
    <row r="10" spans="1:4" x14ac:dyDescent="0.35">
      <c r="B10" s="288" t="s">
        <v>375</v>
      </c>
      <c r="C10" s="289">
        <v>17200</v>
      </c>
      <c r="D10" s="288"/>
    </row>
    <row r="12" spans="1:4" ht="13.15" x14ac:dyDescent="0.4">
      <c r="B12" s="286" t="s">
        <v>369</v>
      </c>
      <c r="C12" s="294" t="s">
        <v>227</v>
      </c>
      <c r="D12" s="286"/>
    </row>
    <row r="13" spans="1:4" ht="13.15" x14ac:dyDescent="0.4">
      <c r="B13" s="286" t="s">
        <v>371</v>
      </c>
      <c r="C13" s="329">
        <f>44/12</f>
        <v>3.6666666666666665</v>
      </c>
      <c r="D13" s="286"/>
    </row>
    <row r="14" spans="1:4" x14ac:dyDescent="0.35">
      <c r="B14" s="290" t="s">
        <v>171</v>
      </c>
      <c r="C14" s="328">
        <f>16/12</f>
        <v>1.3333333333333333</v>
      </c>
      <c r="D14" s="290"/>
    </row>
    <row r="15" spans="1:4" x14ac:dyDescent="0.35">
      <c r="B15" s="290" t="s">
        <v>172</v>
      </c>
      <c r="C15" s="291">
        <f>44/28</f>
        <v>1.5714285714285714</v>
      </c>
      <c r="D15" s="284"/>
    </row>
    <row r="16" spans="1:4" x14ac:dyDescent="0.35">
      <c r="B16" s="290" t="s">
        <v>376</v>
      </c>
      <c r="C16" s="291">
        <f>46/14</f>
        <v>3.2857142857142856</v>
      </c>
      <c r="D16" s="284"/>
    </row>
    <row r="17" spans="2:4" x14ac:dyDescent="0.35">
      <c r="B17" s="290" t="s">
        <v>13</v>
      </c>
      <c r="C17" s="291">
        <f>28/12</f>
        <v>2.3333333333333335</v>
      </c>
      <c r="D17" s="284"/>
    </row>
    <row r="18" spans="2:4" x14ac:dyDescent="0.35">
      <c r="B18" s="290" t="s">
        <v>378</v>
      </c>
      <c r="C18" s="291">
        <f>44/12</f>
        <v>3.6666666666666665</v>
      </c>
      <c r="D18" s="284"/>
    </row>
    <row r="19" spans="2:4" x14ac:dyDescent="0.35">
      <c r="B19" s="288" t="s">
        <v>14</v>
      </c>
      <c r="C19" s="292">
        <f>14/12</f>
        <v>1.1666666666666667</v>
      </c>
      <c r="D19" s="288"/>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U122"/>
  <sheetViews>
    <sheetView showGridLines="0" workbookViewId="0">
      <selection activeCell="C21" sqref="C21"/>
    </sheetView>
  </sheetViews>
  <sheetFormatPr defaultColWidth="8.86328125" defaultRowHeight="15.4" x14ac:dyDescent="0.45"/>
  <cols>
    <col min="1" max="1" width="3" style="13" customWidth="1"/>
    <col min="2" max="2" width="31.265625" style="14" customWidth="1"/>
    <col min="3" max="3" width="17.1328125" style="13" customWidth="1"/>
    <col min="4" max="4" width="14.1328125" style="13" customWidth="1"/>
    <col min="5" max="5" width="15.265625" style="13" customWidth="1"/>
    <col min="6" max="6" width="14.73046875" style="13" customWidth="1"/>
    <col min="7" max="7" width="15.86328125" style="13" customWidth="1"/>
    <col min="8" max="8" width="16.73046875" style="13" customWidth="1"/>
    <col min="9" max="9" width="14.86328125" style="13" customWidth="1"/>
    <col min="10" max="10" width="12.3984375" style="13" customWidth="1"/>
    <col min="11" max="11" width="12" style="13" customWidth="1"/>
    <col min="12" max="12" width="8.86328125" style="13"/>
    <col min="13" max="13" width="9.86328125" style="13" customWidth="1"/>
    <col min="14" max="16" width="8.86328125" style="13"/>
    <col min="17" max="17" width="9.265625" style="13" bestFit="1" customWidth="1"/>
    <col min="18" max="19" width="8.86328125" style="13"/>
    <col min="20" max="20" width="9" style="13" bestFit="1" customWidth="1"/>
    <col min="21" max="16384" width="8.86328125" style="13"/>
  </cols>
  <sheetData>
    <row r="1" spans="2:21" ht="25.7" customHeight="1" x14ac:dyDescent="0.45">
      <c r="B1" s="12" t="s">
        <v>42</v>
      </c>
      <c r="C1" s="12"/>
      <c r="D1" s="12"/>
      <c r="E1" s="12"/>
      <c r="F1" s="12"/>
      <c r="I1" s="13" t="s">
        <v>175</v>
      </c>
      <c r="J1" s="184" t="s">
        <v>783</v>
      </c>
      <c r="K1" s="185"/>
      <c r="U1" s="143"/>
    </row>
    <row r="2" spans="2:21" ht="20.100000000000001" customHeight="1" x14ac:dyDescent="0.45">
      <c r="D2" s="12"/>
      <c r="E2" s="12"/>
      <c r="J2" s="391"/>
      <c r="K2" s="391"/>
      <c r="U2" s="180"/>
    </row>
    <row r="3" spans="2:21" ht="15.95" customHeight="1" x14ac:dyDescent="0.45">
      <c r="B3" s="246" t="s">
        <v>2</v>
      </c>
      <c r="C3" s="18"/>
      <c r="D3" s="247"/>
      <c r="E3" s="248">
        <v>3</v>
      </c>
      <c r="F3" s="18"/>
      <c r="G3" s="18"/>
      <c r="H3" s="18"/>
      <c r="I3" s="18"/>
      <c r="J3" s="546"/>
      <c r="K3" s="547"/>
      <c r="M3" s="137"/>
      <c r="N3" s="125"/>
      <c r="O3" s="125"/>
      <c r="P3" s="125"/>
      <c r="Q3" s="125"/>
      <c r="R3" s="125"/>
      <c r="S3" s="125"/>
      <c r="T3" s="138"/>
    </row>
    <row r="4" spans="2:21" ht="12.95" customHeight="1" x14ac:dyDescent="0.45">
      <c r="B4" s="249"/>
      <c r="C4" s="250"/>
      <c r="D4" s="250"/>
      <c r="E4" s="5"/>
      <c r="F4" s="5"/>
      <c r="G4" s="5"/>
      <c r="H4" s="5"/>
      <c r="I4" s="5"/>
      <c r="J4" s="548"/>
      <c r="K4" s="549"/>
      <c r="M4" s="139"/>
      <c r="T4" s="140"/>
    </row>
    <row r="5" spans="2:21" ht="15" customHeight="1" x14ac:dyDescent="0.45">
      <c r="B5" s="251" t="s">
        <v>206</v>
      </c>
      <c r="C5" s="250"/>
      <c r="D5" s="250"/>
      <c r="E5" s="168">
        <v>2</v>
      </c>
      <c r="F5" s="5"/>
      <c r="G5" s="5"/>
      <c r="H5" s="5"/>
      <c r="I5" s="5"/>
      <c r="J5" s="548"/>
      <c r="K5" s="549"/>
      <c r="M5" s="139"/>
      <c r="T5" s="140"/>
    </row>
    <row r="6" spans="2:21" ht="15" customHeight="1" x14ac:dyDescent="0.45">
      <c r="B6" s="251"/>
      <c r="C6" s="250"/>
      <c r="D6" s="250"/>
      <c r="E6" s="5"/>
      <c r="F6" s="5"/>
      <c r="G6" s="5"/>
      <c r="H6" s="5"/>
      <c r="I6" s="5"/>
      <c r="J6" s="548"/>
      <c r="K6" s="549"/>
      <c r="M6" s="139"/>
      <c r="T6" s="140"/>
    </row>
    <row r="7" spans="2:21" ht="15" customHeight="1" x14ac:dyDescent="0.45">
      <c r="B7" s="251" t="s">
        <v>332</v>
      </c>
      <c r="C7" s="250"/>
      <c r="D7" s="250"/>
      <c r="E7" s="168">
        <v>2</v>
      </c>
      <c r="F7" s="5"/>
      <c r="G7" s="5"/>
      <c r="H7" s="5"/>
      <c r="I7" s="5"/>
      <c r="J7" s="548"/>
      <c r="K7" s="549"/>
      <c r="M7" s="139"/>
      <c r="T7" s="140"/>
    </row>
    <row r="8" spans="2:21" ht="13.7" customHeight="1" x14ac:dyDescent="0.45">
      <c r="B8" s="296"/>
      <c r="C8" s="5"/>
      <c r="D8" s="5"/>
      <c r="E8" s="5"/>
      <c r="F8" s="5"/>
      <c r="G8" s="5"/>
      <c r="H8" s="5"/>
      <c r="I8" s="5"/>
      <c r="J8" s="548"/>
      <c r="K8" s="549"/>
      <c r="M8" s="139"/>
      <c r="T8" s="140"/>
    </row>
    <row r="9" spans="2:21" ht="14.1" customHeight="1" x14ac:dyDescent="0.45">
      <c r="B9" s="118"/>
      <c r="C9" s="18"/>
      <c r="D9" s="357" t="s">
        <v>43</v>
      </c>
      <c r="E9" s="357" t="s">
        <v>44</v>
      </c>
      <c r="F9" s="357" t="s">
        <v>45</v>
      </c>
      <c r="G9" s="357" t="s">
        <v>46</v>
      </c>
      <c r="H9" s="357" t="s">
        <v>47</v>
      </c>
      <c r="I9" s="357" t="s">
        <v>48</v>
      </c>
      <c r="J9" s="357" t="s">
        <v>49</v>
      </c>
      <c r="K9" s="550" t="s">
        <v>55</v>
      </c>
      <c r="M9" s="219"/>
      <c r="T9" s="140"/>
    </row>
    <row r="10" spans="2:21" x14ac:dyDescent="0.45">
      <c r="B10" s="118" t="s">
        <v>9</v>
      </c>
      <c r="C10" s="18" t="s">
        <v>24</v>
      </c>
      <c r="D10" s="119">
        <v>169</v>
      </c>
      <c r="E10" s="119">
        <v>51</v>
      </c>
      <c r="F10" s="119">
        <v>2213</v>
      </c>
      <c r="G10" s="119">
        <v>2018</v>
      </c>
      <c r="H10" s="119">
        <v>5612</v>
      </c>
      <c r="I10" s="119">
        <v>2322</v>
      </c>
      <c r="J10" s="119">
        <v>2353</v>
      </c>
      <c r="K10" s="551" t="s">
        <v>69</v>
      </c>
      <c r="L10" s="16"/>
      <c r="M10" s="252"/>
      <c r="T10" s="140"/>
    </row>
    <row r="11" spans="2:21" x14ac:dyDescent="0.45">
      <c r="B11" s="120"/>
      <c r="C11" s="5" t="s">
        <v>25</v>
      </c>
      <c r="D11" s="15">
        <v>158</v>
      </c>
      <c r="E11" s="15">
        <v>51</v>
      </c>
      <c r="F11" s="15">
        <v>2252</v>
      </c>
      <c r="G11" s="15">
        <v>2017</v>
      </c>
      <c r="H11" s="15">
        <v>4865</v>
      </c>
      <c r="I11" s="15">
        <v>2297</v>
      </c>
      <c r="J11" s="15">
        <v>1811</v>
      </c>
      <c r="K11" s="552" t="s">
        <v>69</v>
      </c>
      <c r="L11" s="16"/>
      <c r="M11" s="252"/>
      <c r="N11" s="16"/>
      <c r="T11" s="140"/>
    </row>
    <row r="12" spans="2:21" x14ac:dyDescent="0.45">
      <c r="B12" s="120"/>
      <c r="C12" s="5" t="s">
        <v>26</v>
      </c>
      <c r="D12" s="15">
        <v>148</v>
      </c>
      <c r="E12" s="15">
        <v>51</v>
      </c>
      <c r="F12" s="15">
        <v>2112</v>
      </c>
      <c r="G12" s="15">
        <v>1763</v>
      </c>
      <c r="H12" s="15">
        <v>4457</v>
      </c>
      <c r="I12" s="15">
        <v>2246</v>
      </c>
      <c r="J12" s="15">
        <v>285</v>
      </c>
      <c r="K12" s="552" t="s">
        <v>69</v>
      </c>
      <c r="L12" s="16"/>
      <c r="M12" s="139"/>
      <c r="N12" s="15"/>
      <c r="O12" s="15"/>
      <c r="P12" s="15"/>
      <c r="Q12" s="15"/>
      <c r="T12" s="140"/>
    </row>
    <row r="13" spans="2:21" x14ac:dyDescent="0.45">
      <c r="B13" s="120"/>
      <c r="C13" s="5" t="s">
        <v>27</v>
      </c>
      <c r="D13" s="15">
        <v>148</v>
      </c>
      <c r="E13" s="15">
        <v>51</v>
      </c>
      <c r="F13" s="15">
        <v>2102</v>
      </c>
      <c r="G13" s="15">
        <v>1374</v>
      </c>
      <c r="H13" s="15">
        <v>4003</v>
      </c>
      <c r="I13" s="15">
        <v>2235</v>
      </c>
      <c r="J13" s="15">
        <v>542</v>
      </c>
      <c r="K13" s="552" t="s">
        <v>69</v>
      </c>
      <c r="L13" s="16"/>
      <c r="M13" s="139"/>
      <c r="N13" s="16"/>
      <c r="R13" s="16"/>
      <c r="T13" s="140"/>
    </row>
    <row r="14" spans="2:21" x14ac:dyDescent="0.45">
      <c r="B14" s="121"/>
      <c r="C14" s="19" t="s">
        <v>28</v>
      </c>
      <c r="D14" s="122">
        <f t="shared" ref="D14:J14" si="0">AVERAGE(D10:D13)</f>
        <v>155.75</v>
      </c>
      <c r="E14" s="122">
        <f t="shared" si="0"/>
        <v>51</v>
      </c>
      <c r="F14" s="122">
        <f t="shared" si="0"/>
        <v>2169.75</v>
      </c>
      <c r="G14" s="122">
        <f t="shared" si="0"/>
        <v>1793</v>
      </c>
      <c r="H14" s="122">
        <f t="shared" si="0"/>
        <v>4734.25</v>
      </c>
      <c r="I14" s="122">
        <f t="shared" si="0"/>
        <v>2275</v>
      </c>
      <c r="J14" s="122">
        <f t="shared" si="0"/>
        <v>1247.75</v>
      </c>
      <c r="K14" s="553" t="s">
        <v>69</v>
      </c>
      <c r="L14" s="16"/>
      <c r="M14" s="139"/>
      <c r="T14" s="140"/>
    </row>
    <row r="15" spans="2:21" x14ac:dyDescent="0.45">
      <c r="B15" s="6"/>
      <c r="C15" s="5"/>
      <c r="D15" s="5"/>
      <c r="E15" s="5"/>
      <c r="F15" s="5"/>
      <c r="G15" s="5"/>
      <c r="H15" s="5"/>
      <c r="I15" s="5"/>
      <c r="J15" s="5"/>
      <c r="K15" s="554"/>
      <c r="M15" s="139"/>
      <c r="T15" s="140"/>
    </row>
    <row r="16" spans="2:21" x14ac:dyDescent="0.45">
      <c r="B16" s="118" t="s">
        <v>33</v>
      </c>
      <c r="C16" s="18" t="s">
        <v>24</v>
      </c>
      <c r="D16" s="119">
        <v>700</v>
      </c>
      <c r="E16" s="119">
        <v>85</v>
      </c>
      <c r="F16" s="119">
        <v>90</v>
      </c>
      <c r="G16" s="119">
        <v>300</v>
      </c>
      <c r="H16" s="119">
        <v>490</v>
      </c>
      <c r="I16" s="119">
        <v>85</v>
      </c>
      <c r="J16" s="119">
        <v>280</v>
      </c>
      <c r="K16" s="551" t="s">
        <v>183</v>
      </c>
      <c r="M16" s="139"/>
      <c r="T16" s="140"/>
    </row>
    <row r="17" spans="2:20" x14ac:dyDescent="0.45">
      <c r="B17" s="120"/>
      <c r="C17" s="5" t="s">
        <v>25</v>
      </c>
      <c r="D17" s="15">
        <v>750</v>
      </c>
      <c r="E17" s="15">
        <v>150</v>
      </c>
      <c r="F17" s="15">
        <v>160</v>
      </c>
      <c r="G17" s="15">
        <v>350</v>
      </c>
      <c r="H17" s="15">
        <v>530</v>
      </c>
      <c r="I17" s="15">
        <v>150</v>
      </c>
      <c r="J17" s="15">
        <v>300</v>
      </c>
      <c r="K17" s="552" t="s">
        <v>183</v>
      </c>
      <c r="M17" s="139"/>
      <c r="T17" s="140"/>
    </row>
    <row r="18" spans="2:20" x14ac:dyDescent="0.45">
      <c r="B18" s="120"/>
      <c r="C18" s="5" t="s">
        <v>26</v>
      </c>
      <c r="D18" s="15">
        <v>725</v>
      </c>
      <c r="E18" s="15">
        <v>200</v>
      </c>
      <c r="F18" s="15">
        <v>215</v>
      </c>
      <c r="G18" s="15">
        <v>360</v>
      </c>
      <c r="H18" s="15">
        <v>500</v>
      </c>
      <c r="I18" s="15">
        <v>200</v>
      </c>
      <c r="J18" s="15">
        <v>340</v>
      </c>
      <c r="K18" s="552" t="s">
        <v>183</v>
      </c>
      <c r="M18" s="139"/>
      <c r="T18" s="140"/>
    </row>
    <row r="19" spans="2:20" x14ac:dyDescent="0.45">
      <c r="B19" s="120"/>
      <c r="C19" s="5" t="s">
        <v>27</v>
      </c>
      <c r="D19" s="15">
        <v>700</v>
      </c>
      <c r="E19" s="15">
        <v>210</v>
      </c>
      <c r="F19" s="15">
        <v>230</v>
      </c>
      <c r="G19" s="15">
        <v>380</v>
      </c>
      <c r="H19" s="15">
        <v>460</v>
      </c>
      <c r="I19" s="15">
        <v>210</v>
      </c>
      <c r="J19" s="15">
        <v>380</v>
      </c>
      <c r="K19" s="552" t="s">
        <v>183</v>
      </c>
      <c r="M19" s="139"/>
      <c r="T19" s="140"/>
    </row>
    <row r="20" spans="2:20" x14ac:dyDescent="0.45">
      <c r="B20" s="121"/>
      <c r="C20" s="19" t="s">
        <v>28</v>
      </c>
      <c r="D20" s="123">
        <f t="shared" ref="D20:J20" si="1">AVERAGE(D16:D19)</f>
        <v>718.75</v>
      </c>
      <c r="E20" s="123">
        <f t="shared" si="1"/>
        <v>161.25</v>
      </c>
      <c r="F20" s="123">
        <f t="shared" si="1"/>
        <v>173.75</v>
      </c>
      <c r="G20" s="123">
        <f t="shared" si="1"/>
        <v>347.5</v>
      </c>
      <c r="H20" s="123">
        <f t="shared" si="1"/>
        <v>495</v>
      </c>
      <c r="I20" s="123">
        <f t="shared" si="1"/>
        <v>161.25</v>
      </c>
      <c r="J20" s="123">
        <f t="shared" si="1"/>
        <v>325</v>
      </c>
      <c r="K20" s="553" t="s">
        <v>183</v>
      </c>
      <c r="M20" s="139"/>
      <c r="T20" s="140"/>
    </row>
    <row r="21" spans="2:20" x14ac:dyDescent="0.45">
      <c r="B21" s="6"/>
      <c r="C21" s="5"/>
      <c r="D21" s="5"/>
      <c r="E21" s="5"/>
      <c r="F21" s="5"/>
      <c r="G21" s="5"/>
      <c r="H21" s="5"/>
      <c r="I21" s="5"/>
      <c r="J21" s="5"/>
      <c r="K21" s="548"/>
      <c r="M21" s="141"/>
      <c r="N21" s="97"/>
      <c r="O21" s="97"/>
      <c r="P21" s="97"/>
      <c r="Q21" s="97"/>
      <c r="R21" s="97"/>
      <c r="S21" s="97"/>
      <c r="T21" s="142"/>
    </row>
    <row r="22" spans="2:20" x14ac:dyDescent="0.45">
      <c r="B22" s="118" t="s">
        <v>0</v>
      </c>
      <c r="C22" s="18" t="s">
        <v>24</v>
      </c>
      <c r="D22" s="186">
        <v>0.5</v>
      </c>
      <c r="E22" s="186">
        <v>1</v>
      </c>
      <c r="F22" s="186">
        <v>1</v>
      </c>
      <c r="G22" s="186">
        <v>1</v>
      </c>
      <c r="H22" s="186">
        <v>0.5</v>
      </c>
      <c r="I22" s="186">
        <v>1</v>
      </c>
      <c r="J22" s="186">
        <v>1</v>
      </c>
      <c r="K22" s="551" t="s">
        <v>71</v>
      </c>
      <c r="M22" s="13" t="s">
        <v>333</v>
      </c>
    </row>
    <row r="23" spans="2:20" x14ac:dyDescent="0.45">
      <c r="B23" s="120"/>
      <c r="C23" s="5" t="s">
        <v>25</v>
      </c>
      <c r="D23" s="187">
        <v>0.55000000000000004</v>
      </c>
      <c r="E23" s="187">
        <v>0.82</v>
      </c>
      <c r="F23" s="187">
        <v>0.77</v>
      </c>
      <c r="G23" s="187">
        <v>0.55000000000000004</v>
      </c>
      <c r="H23" s="187">
        <v>0.44</v>
      </c>
      <c r="I23" s="187">
        <v>0.71</v>
      </c>
      <c r="J23" s="187">
        <v>0.8</v>
      </c>
      <c r="K23" s="552" t="s">
        <v>71</v>
      </c>
    </row>
    <row r="24" spans="2:20" x14ac:dyDescent="0.45">
      <c r="B24" s="120"/>
      <c r="C24" s="5" t="s">
        <v>26</v>
      </c>
      <c r="D24" s="187">
        <v>0.5</v>
      </c>
      <c r="E24" s="187">
        <v>0.77</v>
      </c>
      <c r="F24" s="187">
        <v>0.5</v>
      </c>
      <c r="G24" s="187">
        <v>0.11</v>
      </c>
      <c r="H24" s="187">
        <v>-0.33</v>
      </c>
      <c r="I24" s="187">
        <v>0.55000000000000004</v>
      </c>
      <c r="J24" s="187">
        <v>0.5</v>
      </c>
      <c r="K24" s="552" t="s">
        <v>71</v>
      </c>
      <c r="M24" s="137"/>
      <c r="N24" s="125"/>
      <c r="O24" s="125"/>
      <c r="P24" s="125"/>
      <c r="Q24" s="125"/>
      <c r="R24" s="125"/>
      <c r="S24" s="125"/>
      <c r="T24" s="138"/>
    </row>
    <row r="25" spans="2:20" x14ac:dyDescent="0.45">
      <c r="B25" s="120"/>
      <c r="C25" s="5" t="s">
        <v>27</v>
      </c>
      <c r="D25" s="187">
        <v>-0.27</v>
      </c>
      <c r="E25" s="187">
        <v>0.11</v>
      </c>
      <c r="F25" s="187">
        <v>0.5</v>
      </c>
      <c r="G25" s="187">
        <v>0.22</v>
      </c>
      <c r="H25" s="187">
        <v>-0.44</v>
      </c>
      <c r="I25" s="187">
        <v>0.5</v>
      </c>
      <c r="J25" s="187">
        <v>0.5</v>
      </c>
      <c r="K25" s="552" t="s">
        <v>71</v>
      </c>
      <c r="M25" s="139"/>
      <c r="T25" s="140"/>
    </row>
    <row r="26" spans="2:20" x14ac:dyDescent="0.45">
      <c r="B26" s="121"/>
      <c r="C26" s="19" t="s">
        <v>28</v>
      </c>
      <c r="D26" s="124">
        <f>AVERAGE(D22:D25)</f>
        <v>0.32</v>
      </c>
      <c r="E26" s="124">
        <f t="shared" ref="E26:J26" si="2">AVERAGE(E22:E25)</f>
        <v>0.67499999999999993</v>
      </c>
      <c r="F26" s="124">
        <f t="shared" si="2"/>
        <v>0.6925</v>
      </c>
      <c r="G26" s="124">
        <f t="shared" si="2"/>
        <v>0.47000000000000003</v>
      </c>
      <c r="H26" s="124">
        <f t="shared" si="2"/>
        <v>4.2499999999999968E-2</v>
      </c>
      <c r="I26" s="124">
        <f t="shared" si="2"/>
        <v>0.69</v>
      </c>
      <c r="J26" s="124">
        <f t="shared" si="2"/>
        <v>0.7</v>
      </c>
      <c r="K26" s="553" t="s">
        <v>71</v>
      </c>
      <c r="M26" s="139"/>
      <c r="T26" s="140"/>
    </row>
    <row r="27" spans="2:20" x14ac:dyDescent="0.45">
      <c r="B27" s="6"/>
      <c r="C27" s="5"/>
      <c r="D27" s="5"/>
      <c r="E27" s="5"/>
      <c r="F27" s="5"/>
      <c r="G27" s="5"/>
      <c r="H27" s="5"/>
      <c r="I27" s="5"/>
      <c r="J27" s="5"/>
      <c r="K27" s="548"/>
      <c r="M27" s="139"/>
      <c r="T27" s="140"/>
    </row>
    <row r="28" spans="2:20" x14ac:dyDescent="0.45">
      <c r="B28" s="118" t="s">
        <v>179</v>
      </c>
      <c r="C28" s="18" t="s">
        <v>24</v>
      </c>
      <c r="D28" s="119">
        <v>4</v>
      </c>
      <c r="E28" s="119">
        <v>4</v>
      </c>
      <c r="F28" s="119">
        <v>4</v>
      </c>
      <c r="G28" s="119">
        <v>4</v>
      </c>
      <c r="H28" s="119">
        <v>4</v>
      </c>
      <c r="I28" s="119">
        <v>4</v>
      </c>
      <c r="J28" s="119">
        <v>4</v>
      </c>
      <c r="K28" s="551" t="s">
        <v>38</v>
      </c>
      <c r="M28" s="139"/>
      <c r="T28" s="140"/>
    </row>
    <row r="29" spans="2:20" x14ac:dyDescent="0.45">
      <c r="B29" s="120"/>
      <c r="C29" s="5" t="s">
        <v>25</v>
      </c>
      <c r="D29" s="15">
        <v>11</v>
      </c>
      <c r="E29" s="15">
        <v>11</v>
      </c>
      <c r="F29" s="15">
        <v>11</v>
      </c>
      <c r="G29" s="15">
        <v>11</v>
      </c>
      <c r="H29" s="15">
        <v>11</v>
      </c>
      <c r="I29" s="15">
        <v>11</v>
      </c>
      <c r="J29" s="15">
        <v>11</v>
      </c>
      <c r="K29" s="552" t="s">
        <v>38</v>
      </c>
      <c r="M29" s="139"/>
      <c r="T29" s="140"/>
    </row>
    <row r="30" spans="2:20" x14ac:dyDescent="0.45">
      <c r="B30" s="120"/>
      <c r="C30" s="5" t="s">
        <v>26</v>
      </c>
      <c r="D30" s="15">
        <v>7</v>
      </c>
      <c r="E30" s="15">
        <v>7</v>
      </c>
      <c r="F30" s="15">
        <v>7</v>
      </c>
      <c r="G30" s="15">
        <v>7</v>
      </c>
      <c r="H30" s="15">
        <v>7</v>
      </c>
      <c r="I30" s="15">
        <v>7</v>
      </c>
      <c r="J30" s="15">
        <v>7</v>
      </c>
      <c r="K30" s="552" t="s">
        <v>38</v>
      </c>
      <c r="M30" s="139"/>
      <c r="T30" s="140"/>
    </row>
    <row r="31" spans="2:20" x14ac:dyDescent="0.45">
      <c r="B31" s="120"/>
      <c r="C31" s="5" t="s">
        <v>27</v>
      </c>
      <c r="D31" s="15">
        <v>5.5</v>
      </c>
      <c r="E31" s="15">
        <v>5.5</v>
      </c>
      <c r="F31" s="15">
        <v>5.5</v>
      </c>
      <c r="G31" s="15">
        <v>5.5</v>
      </c>
      <c r="H31" s="15">
        <v>5.5</v>
      </c>
      <c r="I31" s="15">
        <v>5.5</v>
      </c>
      <c r="J31" s="15">
        <v>5.5</v>
      </c>
      <c r="K31" s="552" t="s">
        <v>38</v>
      </c>
      <c r="M31" s="139"/>
      <c r="T31" s="140"/>
    </row>
    <row r="32" spans="2:20" x14ac:dyDescent="0.45">
      <c r="B32" s="121"/>
      <c r="C32" s="19" t="s">
        <v>28</v>
      </c>
      <c r="D32" s="123">
        <f t="shared" ref="D32:J32" si="3">AVERAGE(D28:D31)</f>
        <v>6.875</v>
      </c>
      <c r="E32" s="123">
        <f t="shared" si="3"/>
        <v>6.875</v>
      </c>
      <c r="F32" s="123">
        <f t="shared" si="3"/>
        <v>6.875</v>
      </c>
      <c r="G32" s="123">
        <f t="shared" si="3"/>
        <v>6.875</v>
      </c>
      <c r="H32" s="123">
        <f t="shared" si="3"/>
        <v>6.875</v>
      </c>
      <c r="I32" s="123">
        <f t="shared" si="3"/>
        <v>6.875</v>
      </c>
      <c r="J32" s="123">
        <f t="shared" si="3"/>
        <v>6.875</v>
      </c>
      <c r="K32" s="553" t="s">
        <v>38</v>
      </c>
      <c r="M32" s="139"/>
      <c r="T32" s="140"/>
    </row>
    <row r="33" spans="2:20" x14ac:dyDescent="0.45">
      <c r="B33" s="6"/>
      <c r="C33" s="5"/>
      <c r="D33" s="5"/>
      <c r="E33" s="5"/>
      <c r="F33" s="5"/>
      <c r="G33" s="5"/>
      <c r="H33" s="5"/>
      <c r="I33" s="5"/>
      <c r="J33" s="5"/>
      <c r="K33" s="548"/>
      <c r="M33" s="139"/>
      <c r="T33" s="140"/>
    </row>
    <row r="34" spans="2:20" x14ac:dyDescent="0.45">
      <c r="B34" s="118" t="s">
        <v>180</v>
      </c>
      <c r="C34" s="18" t="s">
        <v>24</v>
      </c>
      <c r="D34" s="119">
        <v>48</v>
      </c>
      <c r="E34" s="119">
        <v>48</v>
      </c>
      <c r="F34" s="119">
        <v>48</v>
      </c>
      <c r="G34" s="119">
        <v>48</v>
      </c>
      <c r="H34" s="119">
        <v>48</v>
      </c>
      <c r="I34" s="119">
        <v>48</v>
      </c>
      <c r="J34" s="119">
        <v>48</v>
      </c>
      <c r="K34" s="551" t="s">
        <v>38</v>
      </c>
      <c r="M34" s="139"/>
      <c r="T34" s="140"/>
    </row>
    <row r="35" spans="2:20" x14ac:dyDescent="0.45">
      <c r="B35" s="120"/>
      <c r="C35" s="5" t="s">
        <v>25</v>
      </c>
      <c r="D35" s="15">
        <v>56</v>
      </c>
      <c r="E35" s="15">
        <v>56</v>
      </c>
      <c r="F35" s="15">
        <v>56</v>
      </c>
      <c r="G35" s="15">
        <v>56</v>
      </c>
      <c r="H35" s="15">
        <v>56</v>
      </c>
      <c r="I35" s="15">
        <v>56</v>
      </c>
      <c r="J35" s="15">
        <v>56</v>
      </c>
      <c r="K35" s="552" t="s">
        <v>38</v>
      </c>
      <c r="M35" s="139"/>
      <c r="T35" s="140"/>
    </row>
    <row r="36" spans="2:20" x14ac:dyDescent="0.45">
      <c r="B36" s="120"/>
      <c r="C36" s="5" t="s">
        <v>26</v>
      </c>
      <c r="D36" s="15">
        <v>53</v>
      </c>
      <c r="E36" s="15">
        <v>53</v>
      </c>
      <c r="F36" s="15">
        <v>53</v>
      </c>
      <c r="G36" s="15">
        <v>53</v>
      </c>
      <c r="H36" s="15">
        <v>53</v>
      </c>
      <c r="I36" s="15">
        <v>53</v>
      </c>
      <c r="J36" s="15">
        <v>53</v>
      </c>
      <c r="K36" s="552" t="s">
        <v>38</v>
      </c>
      <c r="M36" s="139"/>
      <c r="T36" s="140"/>
    </row>
    <row r="37" spans="2:20" x14ac:dyDescent="0.45">
      <c r="B37" s="120"/>
      <c r="C37" s="5" t="s">
        <v>27</v>
      </c>
      <c r="D37" s="15">
        <v>51</v>
      </c>
      <c r="E37" s="15">
        <v>51</v>
      </c>
      <c r="F37" s="15">
        <v>51</v>
      </c>
      <c r="G37" s="15">
        <v>51</v>
      </c>
      <c r="H37" s="15">
        <v>51</v>
      </c>
      <c r="I37" s="15">
        <v>51</v>
      </c>
      <c r="J37" s="15">
        <v>51</v>
      </c>
      <c r="K37" s="552" t="s">
        <v>38</v>
      </c>
      <c r="M37" s="139"/>
      <c r="T37" s="140"/>
    </row>
    <row r="38" spans="2:20" x14ac:dyDescent="0.45">
      <c r="B38" s="121"/>
      <c r="C38" s="19" t="s">
        <v>28</v>
      </c>
      <c r="D38" s="123">
        <f>AVERAGE(D34:D37)</f>
        <v>52</v>
      </c>
      <c r="E38" s="123">
        <f t="shared" ref="E38:J38" si="4">AVERAGE(E34:E37)</f>
        <v>52</v>
      </c>
      <c r="F38" s="123">
        <f t="shared" si="4"/>
        <v>52</v>
      </c>
      <c r="G38" s="123">
        <f t="shared" si="4"/>
        <v>52</v>
      </c>
      <c r="H38" s="123">
        <f t="shared" si="4"/>
        <v>52</v>
      </c>
      <c r="I38" s="123">
        <f t="shared" si="4"/>
        <v>52</v>
      </c>
      <c r="J38" s="123">
        <f t="shared" si="4"/>
        <v>52</v>
      </c>
      <c r="K38" s="553" t="s">
        <v>38</v>
      </c>
      <c r="M38" s="139"/>
      <c r="N38" s="15"/>
      <c r="P38" s="15"/>
      <c r="Q38" s="15"/>
      <c r="T38" s="140"/>
    </row>
    <row r="39" spans="2:20" x14ac:dyDescent="0.45">
      <c r="B39" s="6"/>
      <c r="C39" s="5"/>
      <c r="D39" s="254"/>
      <c r="E39" s="254"/>
      <c r="F39" s="254"/>
      <c r="G39" s="254"/>
      <c r="H39" s="254"/>
      <c r="I39" s="254"/>
      <c r="J39" s="254"/>
      <c r="K39" s="554"/>
      <c r="M39" s="139"/>
      <c r="N39" s="15"/>
      <c r="P39" s="15"/>
      <c r="Q39" s="15"/>
      <c r="T39" s="140"/>
    </row>
    <row r="40" spans="2:20" x14ac:dyDescent="0.45">
      <c r="B40" s="6"/>
      <c r="C40" s="5"/>
      <c r="D40" s="5" t="s">
        <v>453</v>
      </c>
      <c r="E40" s="5"/>
      <c r="F40" s="5" t="s">
        <v>454</v>
      </c>
      <c r="G40" s="5"/>
      <c r="H40" s="5"/>
      <c r="I40" s="5"/>
      <c r="J40" s="5"/>
      <c r="K40" s="548"/>
      <c r="M40" s="139"/>
      <c r="T40" s="140"/>
    </row>
    <row r="41" spans="2:20" x14ac:dyDescent="0.45">
      <c r="B41" s="118" t="s">
        <v>18</v>
      </c>
      <c r="C41" s="18"/>
      <c r="D41" s="119">
        <v>0</v>
      </c>
      <c r="E41" s="18"/>
      <c r="F41" s="119">
        <v>0</v>
      </c>
      <c r="G41" s="18"/>
      <c r="H41" s="18"/>
      <c r="I41" s="18"/>
      <c r="J41" s="18"/>
      <c r="K41" s="551" t="s">
        <v>20</v>
      </c>
      <c r="M41" s="139"/>
      <c r="T41" s="140"/>
    </row>
    <row r="42" spans="2:20" x14ac:dyDescent="0.45">
      <c r="B42" s="121" t="s">
        <v>19</v>
      </c>
      <c r="C42" s="19"/>
      <c r="D42" s="128">
        <v>5637</v>
      </c>
      <c r="E42" s="19"/>
      <c r="F42" s="128">
        <v>0</v>
      </c>
      <c r="G42" s="19"/>
      <c r="H42" s="19"/>
      <c r="I42" s="19"/>
      <c r="J42" s="19"/>
      <c r="K42" s="553" t="s">
        <v>20</v>
      </c>
      <c r="M42" s="139"/>
      <c r="N42" s="15"/>
      <c r="O42" s="15"/>
      <c r="P42" s="15"/>
      <c r="Q42" s="15"/>
      <c r="R42" s="15"/>
      <c r="T42" s="140"/>
    </row>
    <row r="43" spans="2:20" x14ac:dyDescent="0.45">
      <c r="B43" s="6"/>
      <c r="C43" s="5"/>
      <c r="D43" s="5"/>
      <c r="E43" s="5"/>
      <c r="F43" s="5"/>
      <c r="G43" s="5"/>
      <c r="H43" s="5"/>
      <c r="I43" s="5"/>
      <c r="J43" s="5"/>
      <c r="K43" s="554"/>
      <c r="M43" s="139"/>
      <c r="T43" s="140"/>
    </row>
    <row r="44" spans="2:20" x14ac:dyDescent="0.45">
      <c r="B44" s="6"/>
      <c r="C44" s="5"/>
      <c r="D44" s="5" t="s">
        <v>453</v>
      </c>
      <c r="E44" s="5"/>
      <c r="F44" s="5" t="s">
        <v>454</v>
      </c>
      <c r="G44" s="5"/>
      <c r="H44" s="5"/>
      <c r="I44" s="5"/>
      <c r="J44" s="5"/>
      <c r="K44" s="554"/>
      <c r="M44" s="141"/>
      <c r="N44" s="97"/>
      <c r="O44" s="97"/>
      <c r="P44" s="97"/>
      <c r="Q44" s="97"/>
      <c r="R44" s="97"/>
      <c r="S44" s="97"/>
      <c r="T44" s="142"/>
    </row>
    <row r="45" spans="2:20" x14ac:dyDescent="0.45">
      <c r="B45" s="118" t="s">
        <v>61</v>
      </c>
      <c r="C45" s="18" t="s">
        <v>24</v>
      </c>
      <c r="D45" s="119">
        <v>0</v>
      </c>
      <c r="E45" s="18"/>
      <c r="F45" s="119">
        <v>0</v>
      </c>
      <c r="G45" s="18"/>
      <c r="H45" s="18"/>
      <c r="I45" s="18"/>
      <c r="J45" s="18"/>
      <c r="K45" s="547" t="s">
        <v>184</v>
      </c>
      <c r="M45" s="13" t="s">
        <v>341</v>
      </c>
      <c r="N45" s="15"/>
      <c r="O45" s="15"/>
      <c r="P45" s="15"/>
      <c r="Q45" s="15"/>
    </row>
    <row r="46" spans="2:20" x14ac:dyDescent="0.45">
      <c r="B46" s="120"/>
      <c r="C46" s="5" t="s">
        <v>25</v>
      </c>
      <c r="D46" s="15">
        <v>0</v>
      </c>
      <c r="E46" s="5"/>
      <c r="F46" s="15">
        <v>0</v>
      </c>
      <c r="G46" s="5"/>
      <c r="H46" s="5"/>
      <c r="I46" s="5"/>
      <c r="J46" s="5"/>
      <c r="K46" s="549" t="s">
        <v>184</v>
      </c>
    </row>
    <row r="47" spans="2:20" x14ac:dyDescent="0.45">
      <c r="B47" s="120"/>
      <c r="C47" s="5" t="s">
        <v>26</v>
      </c>
      <c r="D47" s="15">
        <v>0</v>
      </c>
      <c r="E47" s="5"/>
      <c r="F47" s="15">
        <v>0</v>
      </c>
      <c r="G47" s="5"/>
      <c r="H47" s="5"/>
      <c r="I47" s="5"/>
      <c r="J47" s="5"/>
      <c r="K47" s="549" t="s">
        <v>184</v>
      </c>
      <c r="S47"/>
    </row>
    <row r="48" spans="2:20" x14ac:dyDescent="0.45">
      <c r="B48" s="120"/>
      <c r="C48" s="5" t="s">
        <v>27</v>
      </c>
      <c r="D48" s="15">
        <v>0</v>
      </c>
      <c r="E48" s="5"/>
      <c r="F48" s="15">
        <v>0</v>
      </c>
      <c r="G48" s="5"/>
      <c r="H48" s="5"/>
      <c r="I48" s="5"/>
      <c r="J48" s="5"/>
      <c r="K48" s="549" t="s">
        <v>184</v>
      </c>
    </row>
    <row r="49" spans="2:11" x14ac:dyDescent="0.45">
      <c r="B49" s="121"/>
      <c r="C49" s="19" t="s">
        <v>36</v>
      </c>
      <c r="D49" s="19">
        <f>SUM(D45:D48)</f>
        <v>0</v>
      </c>
      <c r="E49" s="19"/>
      <c r="F49" s="19">
        <f>SUM(F45:F48)</f>
        <v>0</v>
      </c>
      <c r="G49" s="19"/>
      <c r="H49" s="19"/>
      <c r="I49" s="19"/>
      <c r="J49" s="19"/>
      <c r="K49" s="555" t="s">
        <v>184</v>
      </c>
    </row>
    <row r="50" spans="2:11" x14ac:dyDescent="0.45">
      <c r="B50" s="6"/>
      <c r="C50" s="5"/>
      <c r="D50" s="5"/>
      <c r="E50" s="5"/>
      <c r="F50" s="5"/>
      <c r="G50" s="5"/>
      <c r="H50" s="5"/>
      <c r="I50" s="5"/>
      <c r="J50" s="5"/>
      <c r="K50" s="548"/>
    </row>
    <row r="51" spans="2:11" x14ac:dyDescent="0.45">
      <c r="B51" s="6"/>
      <c r="C51" s="5"/>
      <c r="D51" s="5" t="s">
        <v>453</v>
      </c>
      <c r="E51" s="5"/>
      <c r="F51" s="5" t="s">
        <v>454</v>
      </c>
      <c r="G51" s="5"/>
      <c r="H51" s="5"/>
      <c r="I51" s="5"/>
      <c r="J51" s="5"/>
      <c r="K51" s="548"/>
    </row>
    <row r="52" spans="2:11" x14ac:dyDescent="0.45">
      <c r="B52" s="118" t="s">
        <v>60</v>
      </c>
      <c r="C52" s="18" t="s">
        <v>24</v>
      </c>
      <c r="D52" s="119">
        <v>18.332446336703924</v>
      </c>
      <c r="E52" s="18"/>
      <c r="F52" s="119">
        <v>0</v>
      </c>
      <c r="G52" s="18"/>
      <c r="H52" s="18"/>
      <c r="I52" s="18"/>
      <c r="J52" s="18"/>
      <c r="K52" s="547" t="s">
        <v>184</v>
      </c>
    </row>
    <row r="53" spans="2:11" x14ac:dyDescent="0.45">
      <c r="B53" s="120"/>
      <c r="C53" s="5" t="s">
        <v>25</v>
      </c>
      <c r="D53" s="15">
        <v>0</v>
      </c>
      <c r="E53" s="5"/>
      <c r="F53" s="15">
        <v>0</v>
      </c>
      <c r="G53" s="5"/>
      <c r="H53" s="5"/>
      <c r="I53" s="5"/>
      <c r="J53" s="5"/>
      <c r="K53" s="549" t="s">
        <v>184</v>
      </c>
    </row>
    <row r="54" spans="2:11" x14ac:dyDescent="0.45">
      <c r="B54" s="120"/>
      <c r="C54" s="5" t="s">
        <v>26</v>
      </c>
      <c r="D54" s="15">
        <v>47.65</v>
      </c>
      <c r="E54" s="5"/>
      <c r="F54" s="15">
        <v>0</v>
      </c>
      <c r="G54" s="5"/>
      <c r="H54" s="5"/>
      <c r="I54" s="5"/>
      <c r="J54" s="5"/>
      <c r="K54" s="549" t="s">
        <v>184</v>
      </c>
    </row>
    <row r="55" spans="2:11" x14ac:dyDescent="0.45">
      <c r="B55" s="120"/>
      <c r="C55" s="5" t="s">
        <v>27</v>
      </c>
      <c r="D55" s="15">
        <v>0</v>
      </c>
      <c r="E55" s="5"/>
      <c r="F55" s="15">
        <v>0</v>
      </c>
      <c r="G55" s="5"/>
      <c r="H55" s="5"/>
      <c r="I55" s="5"/>
      <c r="J55" s="5"/>
      <c r="K55" s="549" t="s">
        <v>184</v>
      </c>
    </row>
    <row r="56" spans="2:11" x14ac:dyDescent="0.45">
      <c r="B56" s="121"/>
      <c r="C56" s="19" t="s">
        <v>36</v>
      </c>
      <c r="D56" s="19">
        <f>SUM(D52:D55)</f>
        <v>65.98244633670393</v>
      </c>
      <c r="E56" s="19"/>
      <c r="F56" s="19">
        <f>SUM(F52:F55)</f>
        <v>0</v>
      </c>
      <c r="G56" s="19"/>
      <c r="H56" s="19"/>
      <c r="I56" s="19"/>
      <c r="J56" s="19"/>
      <c r="K56" s="555" t="s">
        <v>184</v>
      </c>
    </row>
    <row r="57" spans="2:11" x14ac:dyDescent="0.45">
      <c r="B57" s="6"/>
      <c r="C57" s="5"/>
      <c r="D57" s="5"/>
      <c r="E57" s="5"/>
      <c r="F57" s="5"/>
      <c r="G57" s="5"/>
      <c r="H57" s="5"/>
      <c r="I57" s="5"/>
      <c r="J57" s="5"/>
      <c r="K57" s="548"/>
    </row>
    <row r="58" spans="2:11" x14ac:dyDescent="0.45">
      <c r="B58" s="6"/>
      <c r="C58" s="5"/>
      <c r="D58" s="5" t="s">
        <v>453</v>
      </c>
      <c r="E58" s="5"/>
      <c r="F58" s="5" t="s">
        <v>454</v>
      </c>
      <c r="G58" s="5"/>
      <c r="H58" s="5"/>
      <c r="I58" s="5"/>
      <c r="J58" s="5"/>
      <c r="K58" s="548"/>
    </row>
    <row r="59" spans="2:11" x14ac:dyDescent="0.45">
      <c r="B59" s="118" t="s">
        <v>451</v>
      </c>
      <c r="C59" s="18" t="s">
        <v>24</v>
      </c>
      <c r="D59" s="119">
        <v>0</v>
      </c>
      <c r="E59" s="18"/>
      <c r="F59" s="119">
        <v>0</v>
      </c>
      <c r="G59" s="18"/>
      <c r="H59" s="18"/>
      <c r="I59" s="18"/>
      <c r="J59" s="18"/>
      <c r="K59" s="547" t="s">
        <v>184</v>
      </c>
    </row>
    <row r="60" spans="2:11" x14ac:dyDescent="0.45">
      <c r="B60" s="120"/>
      <c r="C60" s="5" t="s">
        <v>25</v>
      </c>
      <c r="D60" s="15">
        <v>0</v>
      </c>
      <c r="E60" s="5"/>
      <c r="F60" s="15">
        <v>0</v>
      </c>
      <c r="G60" s="5"/>
      <c r="H60" s="5"/>
      <c r="I60" s="5"/>
      <c r="J60" s="5"/>
      <c r="K60" s="549" t="s">
        <v>184</v>
      </c>
    </row>
    <row r="61" spans="2:11" x14ac:dyDescent="0.45">
      <c r="B61" s="120"/>
      <c r="C61" s="5" t="s">
        <v>26</v>
      </c>
      <c r="D61" s="15">
        <v>0</v>
      </c>
      <c r="E61" s="5"/>
      <c r="F61" s="15">
        <v>0</v>
      </c>
      <c r="G61" s="5"/>
      <c r="H61" s="5"/>
      <c r="I61" s="5"/>
      <c r="J61" s="5"/>
      <c r="K61" s="549" t="s">
        <v>184</v>
      </c>
    </row>
    <row r="62" spans="2:11" x14ac:dyDescent="0.45">
      <c r="B62" s="120"/>
      <c r="C62" s="5" t="s">
        <v>27</v>
      </c>
      <c r="D62" s="15">
        <v>0</v>
      </c>
      <c r="E62" s="5"/>
      <c r="F62" s="15">
        <v>0</v>
      </c>
      <c r="G62" s="5"/>
      <c r="H62" s="5"/>
      <c r="I62" s="5"/>
      <c r="J62" s="5"/>
      <c r="K62" s="549" t="s">
        <v>184</v>
      </c>
    </row>
    <row r="63" spans="2:11" x14ac:dyDescent="0.45">
      <c r="B63" s="121"/>
      <c r="C63" s="19" t="s">
        <v>36</v>
      </c>
      <c r="D63" s="19">
        <f>SUM(D59:D62)</f>
        <v>0</v>
      </c>
      <c r="E63" s="19"/>
      <c r="F63" s="19">
        <f>SUM(F59:F62)</f>
        <v>0</v>
      </c>
      <c r="G63" s="19"/>
      <c r="H63" s="19"/>
      <c r="I63" s="19"/>
      <c r="J63" s="19"/>
      <c r="K63" s="555" t="s">
        <v>184</v>
      </c>
    </row>
    <row r="64" spans="2:11" x14ac:dyDescent="0.45">
      <c r="B64" s="6"/>
      <c r="C64" s="5"/>
      <c r="D64" s="5"/>
      <c r="E64" s="5"/>
      <c r="F64" s="5"/>
      <c r="G64" s="5"/>
      <c r="H64" s="5"/>
      <c r="I64" s="5"/>
      <c r="J64" s="5"/>
      <c r="K64" s="548"/>
    </row>
    <row r="65" spans="2:18" x14ac:dyDescent="0.45">
      <c r="B65" s="6"/>
      <c r="C65" s="5"/>
      <c r="D65" s="5" t="s">
        <v>453</v>
      </c>
      <c r="E65" s="5"/>
      <c r="F65" s="5" t="s">
        <v>454</v>
      </c>
      <c r="G65" s="5"/>
      <c r="H65" s="5"/>
      <c r="I65" s="5"/>
      <c r="J65" s="5"/>
      <c r="K65" s="548"/>
    </row>
    <row r="66" spans="2:18" x14ac:dyDescent="0.45">
      <c r="B66" s="118" t="s">
        <v>452</v>
      </c>
      <c r="C66" s="18" t="s">
        <v>24</v>
      </c>
      <c r="D66" s="119">
        <v>0</v>
      </c>
      <c r="E66" s="18"/>
      <c r="F66" s="119">
        <v>0</v>
      </c>
      <c r="G66" s="18"/>
      <c r="H66" s="18"/>
      <c r="I66" s="18"/>
      <c r="J66" s="18"/>
      <c r="K66" s="547" t="s">
        <v>184</v>
      </c>
    </row>
    <row r="67" spans="2:18" x14ac:dyDescent="0.45">
      <c r="B67" s="120"/>
      <c r="C67" s="5" t="s">
        <v>25</v>
      </c>
      <c r="D67" s="15">
        <v>0</v>
      </c>
      <c r="E67" s="5"/>
      <c r="F67" s="15">
        <v>0</v>
      </c>
      <c r="G67" s="5"/>
      <c r="H67" s="5"/>
      <c r="I67" s="5"/>
      <c r="J67" s="5"/>
      <c r="K67" s="549" t="s">
        <v>184</v>
      </c>
    </row>
    <row r="68" spans="2:18" x14ac:dyDescent="0.45">
      <c r="B68" s="120"/>
      <c r="C68" s="5" t="s">
        <v>26</v>
      </c>
      <c r="D68" s="15">
        <v>0</v>
      </c>
      <c r="E68" s="5"/>
      <c r="F68" s="15">
        <v>0</v>
      </c>
      <c r="G68" s="5"/>
      <c r="H68" s="5"/>
      <c r="I68" s="5"/>
      <c r="J68" s="5"/>
      <c r="K68" s="549" t="s">
        <v>184</v>
      </c>
    </row>
    <row r="69" spans="2:18" x14ac:dyDescent="0.45">
      <c r="B69" s="120"/>
      <c r="C69" s="5" t="s">
        <v>27</v>
      </c>
      <c r="D69" s="15">
        <v>0</v>
      </c>
      <c r="E69" s="5"/>
      <c r="F69" s="15">
        <v>0</v>
      </c>
      <c r="G69" s="5"/>
      <c r="H69" s="5"/>
      <c r="I69" s="5"/>
      <c r="J69" s="5"/>
      <c r="K69" s="549" t="s">
        <v>184</v>
      </c>
    </row>
    <row r="70" spans="2:18" x14ac:dyDescent="0.45">
      <c r="B70" s="121"/>
      <c r="C70" s="19" t="s">
        <v>36</v>
      </c>
      <c r="D70" s="19">
        <f>SUM(D66:D69)</f>
        <v>0</v>
      </c>
      <c r="E70" s="19"/>
      <c r="F70" s="19">
        <f>SUM(F66:F69)</f>
        <v>0</v>
      </c>
      <c r="G70" s="19"/>
      <c r="H70" s="19"/>
      <c r="I70" s="19"/>
      <c r="J70" s="19"/>
      <c r="K70" s="555" t="s">
        <v>184</v>
      </c>
    </row>
    <row r="71" spans="2:18" x14ac:dyDescent="0.45">
      <c r="B71" s="6"/>
      <c r="C71" s="5"/>
      <c r="D71" s="5"/>
      <c r="E71" s="5"/>
      <c r="F71" s="5"/>
      <c r="G71" s="5"/>
      <c r="H71" s="5"/>
      <c r="I71" s="5"/>
      <c r="J71" s="5"/>
      <c r="K71" s="548"/>
    </row>
    <row r="72" spans="2:18" x14ac:dyDescent="0.45">
      <c r="B72" s="462" t="s">
        <v>738</v>
      </c>
      <c r="C72" s="463"/>
      <c r="D72" s="464">
        <v>0</v>
      </c>
      <c r="E72" s="463"/>
      <c r="F72" s="464">
        <v>0</v>
      </c>
      <c r="G72" s="463"/>
      <c r="H72" s="463"/>
      <c r="I72" s="463"/>
      <c r="J72" s="463"/>
      <c r="K72" s="556" t="s">
        <v>184</v>
      </c>
    </row>
    <row r="73" spans="2:18" x14ac:dyDescent="0.45">
      <c r="B73" s="465" t="s">
        <v>739</v>
      </c>
      <c r="C73" s="466"/>
      <c r="D73" s="467">
        <v>32.879900656377508</v>
      </c>
      <c r="E73" s="466"/>
      <c r="F73" s="467">
        <v>0</v>
      </c>
      <c r="G73" s="466"/>
      <c r="H73" s="466"/>
      <c r="I73" s="466"/>
      <c r="J73" s="466"/>
      <c r="K73" s="557" t="s">
        <v>184</v>
      </c>
    </row>
    <row r="74" spans="2:18" x14ac:dyDescent="0.45">
      <c r="B74" s="6"/>
      <c r="C74" s="5"/>
      <c r="D74" s="5">
        <v>1</v>
      </c>
      <c r="E74" s="5"/>
      <c r="F74" s="5"/>
      <c r="G74" s="5"/>
      <c r="H74" s="5"/>
      <c r="I74" s="5"/>
      <c r="J74" s="5"/>
      <c r="K74" s="548"/>
    </row>
    <row r="75" spans="2:18" x14ac:dyDescent="0.45">
      <c r="B75" s="118" t="s">
        <v>337</v>
      </c>
      <c r="C75" s="18" t="s">
        <v>338</v>
      </c>
      <c r="D75" s="119">
        <v>60</v>
      </c>
      <c r="E75" s="18"/>
      <c r="F75" s="18"/>
      <c r="G75" s="18"/>
      <c r="H75" s="18"/>
      <c r="I75" s="18"/>
      <c r="J75" s="18"/>
      <c r="K75" s="547" t="s">
        <v>321</v>
      </c>
    </row>
    <row r="76" spans="2:18" x14ac:dyDescent="0.45">
      <c r="B76" s="121"/>
      <c r="C76" s="19" t="s">
        <v>238</v>
      </c>
      <c r="D76" s="128">
        <v>1</v>
      </c>
      <c r="E76" s="19"/>
      <c r="F76" s="19"/>
      <c r="G76" s="19"/>
      <c r="H76" s="19"/>
      <c r="I76" s="19"/>
      <c r="J76" s="19"/>
      <c r="K76" s="555" t="s">
        <v>238</v>
      </c>
    </row>
    <row r="77" spans="2:18" x14ac:dyDescent="0.45">
      <c r="B77" s="6"/>
      <c r="C77" s="5"/>
      <c r="D77" s="5"/>
      <c r="E77" s="5"/>
      <c r="F77" s="5"/>
      <c r="G77" s="5"/>
      <c r="H77" s="5"/>
      <c r="I77" s="5"/>
      <c r="J77" s="5"/>
      <c r="K77" s="548"/>
    </row>
    <row r="78" spans="2:18" x14ac:dyDescent="0.45">
      <c r="B78" s="118" t="s">
        <v>244</v>
      </c>
      <c r="C78" s="18" t="s">
        <v>32</v>
      </c>
      <c r="D78" s="168">
        <v>1</v>
      </c>
      <c r="E78" s="18" t="s">
        <v>335</v>
      </c>
      <c r="F78" s="18"/>
      <c r="G78" s="18"/>
      <c r="H78" s="18"/>
      <c r="I78" s="18"/>
      <c r="J78" s="18"/>
      <c r="K78" s="547"/>
    </row>
    <row r="79" spans="2:18" x14ac:dyDescent="0.45">
      <c r="B79" s="120"/>
      <c r="C79" s="5"/>
      <c r="D79" s="253"/>
      <c r="E79" s="5"/>
      <c r="F79" s="5"/>
      <c r="G79" s="5"/>
      <c r="H79" s="5"/>
      <c r="I79" s="5"/>
      <c r="J79" s="5"/>
      <c r="K79" s="549"/>
      <c r="O79" s="147"/>
      <c r="P79" s="147"/>
      <c r="Q79" s="147"/>
      <c r="R79" s="147"/>
    </row>
    <row r="80" spans="2:18" x14ac:dyDescent="0.45">
      <c r="B80" s="120"/>
      <c r="C80" s="5" t="s">
        <v>260</v>
      </c>
      <c r="D80" s="559">
        <v>3</v>
      </c>
      <c r="E80" s="251"/>
      <c r="F80" s="5"/>
      <c r="G80" s="5"/>
      <c r="H80" s="5"/>
      <c r="I80" s="5"/>
      <c r="J80" s="5"/>
      <c r="K80" s="549"/>
      <c r="N80" s="147"/>
      <c r="O80" s="147"/>
      <c r="P80" s="147"/>
      <c r="Q80" s="147"/>
      <c r="R80" s="147"/>
    </row>
    <row r="81" spans="2:18" x14ac:dyDescent="0.45">
      <c r="B81" s="120"/>
      <c r="C81" s="5"/>
      <c r="D81" s="253"/>
      <c r="E81" s="5"/>
      <c r="F81" s="5"/>
      <c r="G81" s="5"/>
      <c r="H81" s="5"/>
      <c r="I81" s="5"/>
      <c r="J81" s="5"/>
      <c r="K81" s="549"/>
      <c r="N81" s="147"/>
      <c r="O81" s="147"/>
      <c r="P81" s="147"/>
      <c r="Q81" s="147"/>
      <c r="R81" s="147"/>
    </row>
    <row r="82" spans="2:18" x14ac:dyDescent="0.45">
      <c r="B82" s="120"/>
      <c r="C82" s="5" t="s">
        <v>282</v>
      </c>
      <c r="D82" s="560">
        <v>2</v>
      </c>
      <c r="E82" s="5"/>
      <c r="F82" s="5"/>
      <c r="G82" s="5"/>
      <c r="H82" s="5"/>
      <c r="I82" s="5"/>
      <c r="J82" s="5"/>
      <c r="K82" s="549"/>
      <c r="N82" s="147"/>
      <c r="O82" s="147"/>
      <c r="P82" s="147"/>
      <c r="Q82" s="147"/>
      <c r="R82" s="147"/>
    </row>
    <row r="83" spans="2:18" x14ac:dyDescent="0.45">
      <c r="B83" s="120"/>
      <c r="C83" s="5"/>
      <c r="D83" s="254"/>
      <c r="E83" s="5"/>
      <c r="F83" s="5"/>
      <c r="G83" s="5"/>
      <c r="H83" s="5"/>
      <c r="I83" s="5"/>
      <c r="J83" s="5"/>
      <c r="K83" s="549"/>
      <c r="N83" s="147"/>
      <c r="O83" s="147"/>
      <c r="P83" s="147"/>
      <c r="Q83" s="147"/>
      <c r="R83" s="147"/>
    </row>
    <row r="84" spans="2:18" x14ac:dyDescent="0.45">
      <c r="B84" s="120"/>
      <c r="C84" s="5" t="s">
        <v>291</v>
      </c>
      <c r="D84" s="561">
        <v>2</v>
      </c>
      <c r="E84" s="5"/>
      <c r="F84" s="5"/>
      <c r="G84" s="5"/>
      <c r="H84" s="5"/>
      <c r="I84" s="5"/>
      <c r="J84" s="5"/>
      <c r="K84" s="549"/>
      <c r="N84" s="147"/>
      <c r="O84" s="147"/>
      <c r="P84" s="147"/>
      <c r="Q84" s="147"/>
      <c r="R84" s="147"/>
    </row>
    <row r="85" spans="2:18" x14ac:dyDescent="0.45">
      <c r="B85" s="120"/>
      <c r="C85" s="5"/>
      <c r="D85" s="5"/>
      <c r="E85" s="5"/>
      <c r="F85" s="5"/>
      <c r="G85" s="5"/>
      <c r="H85" s="5"/>
      <c r="I85" s="5"/>
      <c r="J85" s="5"/>
      <c r="K85" s="549"/>
      <c r="N85" s="147"/>
      <c r="O85" s="147"/>
      <c r="P85" s="147"/>
      <c r="Q85" s="147"/>
      <c r="R85" s="147"/>
    </row>
    <row r="86" spans="2:18" x14ac:dyDescent="0.45">
      <c r="B86" s="120"/>
      <c r="C86" s="5" t="s">
        <v>336</v>
      </c>
      <c r="D86" s="168">
        <v>5</v>
      </c>
      <c r="E86" s="5"/>
      <c r="F86" s="5"/>
      <c r="G86" s="5"/>
      <c r="H86" s="5"/>
      <c r="I86" s="5"/>
      <c r="J86" s="5"/>
      <c r="K86" s="549"/>
      <c r="L86" s="180"/>
      <c r="N86" s="147"/>
      <c r="O86" s="147"/>
      <c r="P86" s="147"/>
      <c r="Q86" s="147"/>
      <c r="R86" s="147"/>
    </row>
    <row r="87" spans="2:18" x14ac:dyDescent="0.45">
      <c r="B87" s="120"/>
      <c r="C87" s="5"/>
      <c r="D87" s="5"/>
      <c r="E87" s="5"/>
      <c r="F87" s="5"/>
      <c r="G87" s="5"/>
      <c r="H87" s="5"/>
      <c r="I87" s="5"/>
      <c r="J87" s="5"/>
      <c r="K87" s="549"/>
    </row>
    <row r="88" spans="2:18" x14ac:dyDescent="0.45">
      <c r="B88" s="120"/>
      <c r="C88" s="5" t="s">
        <v>294</v>
      </c>
      <c r="D88" s="561">
        <v>400</v>
      </c>
      <c r="E88" s="5"/>
      <c r="F88" s="5"/>
      <c r="G88" s="5"/>
      <c r="H88" s="5"/>
      <c r="I88" s="5"/>
      <c r="J88" s="5"/>
      <c r="K88" s="549"/>
    </row>
    <row r="89" spans="2:18" x14ac:dyDescent="0.45">
      <c r="B89" s="120"/>
      <c r="C89" s="5"/>
      <c r="D89" s="5"/>
      <c r="E89" s="5"/>
      <c r="F89" s="5"/>
      <c r="G89" s="5"/>
      <c r="H89" s="5"/>
      <c r="I89" s="5"/>
      <c r="J89" s="5"/>
      <c r="K89" s="549"/>
      <c r="N89" s="148"/>
      <c r="O89" s="147"/>
      <c r="P89" s="147"/>
      <c r="Q89" s="147"/>
    </row>
    <row r="90" spans="2:18" x14ac:dyDescent="0.45">
      <c r="B90" s="121"/>
      <c r="C90" s="19" t="s">
        <v>334</v>
      </c>
      <c r="D90" s="561">
        <v>1</v>
      </c>
      <c r="E90" s="19"/>
      <c r="F90" s="19"/>
      <c r="G90" s="19"/>
      <c r="H90" s="19"/>
      <c r="I90" s="19"/>
      <c r="J90" s="19"/>
      <c r="K90" s="555"/>
      <c r="N90" s="147"/>
      <c r="O90" s="147"/>
      <c r="P90" s="147"/>
      <c r="Q90" s="147"/>
    </row>
    <row r="91" spans="2:18" x14ac:dyDescent="0.45">
      <c r="B91" s="6"/>
      <c r="C91" s="5"/>
      <c r="D91" s="5"/>
      <c r="E91" s="5"/>
      <c r="F91" s="5"/>
      <c r="G91" s="5"/>
      <c r="H91" s="5"/>
      <c r="I91" s="5"/>
      <c r="J91" s="5"/>
      <c r="K91" s="548"/>
      <c r="M91" s="180"/>
      <c r="N91" s="147"/>
      <c r="O91" s="147"/>
      <c r="P91" s="147"/>
      <c r="Q91" s="147"/>
    </row>
    <row r="92" spans="2:18" x14ac:dyDescent="0.45">
      <c r="B92" s="6" t="s">
        <v>339</v>
      </c>
      <c r="C92" s="5" t="s">
        <v>340</v>
      </c>
      <c r="D92" s="168">
        <v>1</v>
      </c>
      <c r="E92" s="5"/>
      <c r="F92" s="5"/>
      <c r="G92" s="5"/>
      <c r="H92" s="5"/>
      <c r="I92" s="5"/>
      <c r="J92" s="5"/>
      <c r="K92" s="548"/>
      <c r="N92" s="147"/>
      <c r="O92" s="147"/>
      <c r="P92" s="147"/>
      <c r="Q92" s="147"/>
    </row>
    <row r="93" spans="2:18" x14ac:dyDescent="0.45">
      <c r="B93" s="6"/>
      <c r="C93" s="5"/>
      <c r="D93" s="5"/>
      <c r="E93" s="5"/>
      <c r="F93" s="5"/>
      <c r="G93" s="5"/>
      <c r="H93" s="5"/>
      <c r="I93" s="5"/>
      <c r="J93" s="5"/>
      <c r="K93" s="548"/>
    </row>
    <row r="94" spans="2:18" x14ac:dyDescent="0.45">
      <c r="B94" s="118" t="s">
        <v>12</v>
      </c>
      <c r="C94" s="126"/>
      <c r="D94" s="348">
        <v>35900</v>
      </c>
      <c r="E94" s="18"/>
      <c r="F94" s="18"/>
      <c r="G94" s="18"/>
      <c r="H94" s="18"/>
      <c r="I94" s="18"/>
      <c r="J94" s="18"/>
      <c r="K94" s="547" t="s">
        <v>10</v>
      </c>
    </row>
    <row r="95" spans="2:18" x14ac:dyDescent="0.45">
      <c r="B95" s="120" t="s">
        <v>383</v>
      </c>
      <c r="C95" s="5"/>
      <c r="D95" s="349">
        <v>629.15999999999985</v>
      </c>
      <c r="E95" s="5"/>
      <c r="F95" s="5"/>
      <c r="G95" s="5"/>
      <c r="H95" s="5"/>
      <c r="I95" s="5"/>
      <c r="J95" s="5"/>
      <c r="K95" s="547" t="s">
        <v>10</v>
      </c>
    </row>
    <row r="96" spans="2:18" x14ac:dyDescent="0.45">
      <c r="B96" s="121" t="s">
        <v>34</v>
      </c>
      <c r="C96" s="127"/>
      <c r="D96" s="350">
        <v>163097</v>
      </c>
      <c r="E96" s="19"/>
      <c r="F96" s="19"/>
      <c r="G96" s="19"/>
      <c r="H96" s="19"/>
      <c r="I96" s="19"/>
      <c r="J96" s="19"/>
      <c r="K96" s="555" t="s">
        <v>11</v>
      </c>
    </row>
    <row r="97" spans="2:11" x14ac:dyDescent="0.45">
      <c r="B97" s="6"/>
      <c r="C97" s="171"/>
      <c r="D97" s="5"/>
      <c r="E97" s="5"/>
      <c r="F97" s="5"/>
      <c r="G97" s="5"/>
      <c r="H97" s="5"/>
      <c r="I97" s="5"/>
      <c r="J97" s="5"/>
      <c r="K97" s="548"/>
    </row>
    <row r="98" spans="2:11" x14ac:dyDescent="0.45">
      <c r="B98" s="6" t="s">
        <v>403</v>
      </c>
      <c r="C98" s="171"/>
      <c r="D98" s="5"/>
      <c r="E98" s="5"/>
      <c r="F98" s="5"/>
      <c r="G98" s="5"/>
      <c r="H98" s="5"/>
      <c r="I98" s="5"/>
      <c r="J98" s="5"/>
      <c r="K98" s="548"/>
    </row>
    <row r="99" spans="2:11" x14ac:dyDescent="0.45">
      <c r="B99" s="118" t="s">
        <v>412</v>
      </c>
      <c r="C99" s="18"/>
      <c r="D99" s="168">
        <v>0</v>
      </c>
      <c r="E99" s="18"/>
      <c r="F99" s="18"/>
      <c r="G99" s="18"/>
      <c r="H99" s="18"/>
      <c r="I99" s="18"/>
      <c r="J99" s="18"/>
      <c r="K99" s="547" t="s">
        <v>408</v>
      </c>
    </row>
    <row r="100" spans="2:11" ht="15.95" customHeight="1" x14ac:dyDescent="0.45">
      <c r="B100" s="120"/>
      <c r="C100" s="171"/>
      <c r="D100" s="5"/>
      <c r="E100" s="5"/>
      <c r="F100" s="5"/>
      <c r="G100" s="5"/>
      <c r="H100" s="5"/>
      <c r="I100" s="5"/>
      <c r="J100" s="5"/>
      <c r="K100" s="549"/>
    </row>
    <row r="101" spans="2:11" ht="17.25" customHeight="1" x14ac:dyDescent="0.45">
      <c r="B101" s="120" t="s">
        <v>413</v>
      </c>
      <c r="C101" s="5"/>
      <c r="D101" s="347">
        <v>1</v>
      </c>
      <c r="E101" s="5"/>
      <c r="F101" s="5"/>
      <c r="G101" s="5"/>
      <c r="H101" s="5"/>
      <c r="I101" s="5"/>
      <c r="J101" s="5"/>
      <c r="K101" s="549" t="s">
        <v>414</v>
      </c>
    </row>
    <row r="102" spans="2:11" x14ac:dyDescent="0.45">
      <c r="B102" s="121"/>
      <c r="C102" s="351"/>
      <c r="D102" s="19"/>
      <c r="E102" s="19"/>
      <c r="F102" s="19"/>
      <c r="G102" s="19"/>
      <c r="H102" s="19"/>
      <c r="I102" s="19"/>
      <c r="J102" s="19"/>
      <c r="K102" s="555"/>
    </row>
    <row r="103" spans="2:11" x14ac:dyDescent="0.45">
      <c r="B103" s="6"/>
      <c r="C103" s="5"/>
      <c r="D103" s="5"/>
      <c r="E103" s="5"/>
      <c r="F103" s="5"/>
      <c r="G103" s="5"/>
      <c r="H103" s="5"/>
      <c r="I103" s="170" t="s">
        <v>190</v>
      </c>
      <c r="J103" s="170"/>
      <c r="K103" s="558"/>
    </row>
    <row r="104" spans="2:11" x14ac:dyDescent="0.45">
      <c r="B104" s="118"/>
      <c r="C104" s="18"/>
      <c r="D104" s="18"/>
      <c r="E104" s="18"/>
      <c r="F104" s="18"/>
      <c r="G104" s="18" t="s">
        <v>3</v>
      </c>
      <c r="H104" s="18" t="s">
        <v>151</v>
      </c>
      <c r="I104" s="18" t="str">
        <f>'Enteric fermentation'!B36</f>
        <v>Feed adjustment</v>
      </c>
      <c r="J104" s="18" t="s">
        <v>59</v>
      </c>
      <c r="K104" s="547"/>
    </row>
    <row r="105" spans="2:11" x14ac:dyDescent="0.45">
      <c r="B105" s="120" t="s">
        <v>1</v>
      </c>
      <c r="C105" s="5" t="str">
        <f>C34</f>
        <v>Spring</v>
      </c>
      <c r="D105" s="5"/>
      <c r="E105" s="5"/>
      <c r="F105" s="5"/>
      <c r="G105" s="15">
        <v>6</v>
      </c>
      <c r="H105" s="15">
        <v>0.85</v>
      </c>
      <c r="I105" s="15">
        <v>1.3</v>
      </c>
      <c r="J105" s="5" t="str">
        <f>'Enteric fermentation'!I49</f>
        <v>Temperate</v>
      </c>
      <c r="K105" s="549"/>
    </row>
    <row r="106" spans="2:11" x14ac:dyDescent="0.45">
      <c r="B106" s="120"/>
      <c r="C106" s="5" t="str">
        <f>C35</f>
        <v>Summer</v>
      </c>
      <c r="D106" s="5"/>
      <c r="E106" s="5"/>
      <c r="F106" s="5"/>
      <c r="G106" s="15">
        <v>4</v>
      </c>
      <c r="H106" s="15">
        <v>0.85</v>
      </c>
      <c r="I106" s="15">
        <v>1.1000000000000001</v>
      </c>
      <c r="J106" s="5" t="str">
        <f>'Enteric fermentation'!I49</f>
        <v>Temperate</v>
      </c>
      <c r="K106" s="549"/>
    </row>
    <row r="107" spans="2:11" x14ac:dyDescent="0.45">
      <c r="B107" s="120"/>
      <c r="C107" s="5" t="str">
        <f>C36</f>
        <v>Autumn</v>
      </c>
      <c r="D107" s="5"/>
      <c r="E107" s="5"/>
      <c r="F107" s="5"/>
      <c r="G107" s="15">
        <v>0</v>
      </c>
      <c r="H107" s="15">
        <v>0</v>
      </c>
      <c r="I107" s="15">
        <v>0</v>
      </c>
      <c r="J107" s="5" t="str">
        <f>'Enteric fermentation'!I49</f>
        <v>Temperate</v>
      </c>
      <c r="K107" s="549"/>
    </row>
    <row r="108" spans="2:11" x14ac:dyDescent="0.45">
      <c r="B108" s="121"/>
      <c r="C108" s="19" t="str">
        <f>C37</f>
        <v>Winter</v>
      </c>
      <c r="D108" s="19"/>
      <c r="E108" s="19"/>
      <c r="F108" s="19"/>
      <c r="G108" s="128">
        <v>0</v>
      </c>
      <c r="H108" s="128">
        <v>0</v>
      </c>
      <c r="I108" s="128">
        <v>0</v>
      </c>
      <c r="J108" s="19" t="str">
        <f>'Enteric fermentation'!I49</f>
        <v>Temperate</v>
      </c>
      <c r="K108" s="555"/>
    </row>
    <row r="116" spans="2:11" x14ac:dyDescent="0.45">
      <c r="B116" s="13"/>
    </row>
    <row r="117" spans="2:11" x14ac:dyDescent="0.45">
      <c r="K117" s="17"/>
    </row>
    <row r="118" spans="2:11" x14ac:dyDescent="0.45">
      <c r="G118" s="17"/>
      <c r="K118" s="17"/>
    </row>
    <row r="119" spans="2:11" x14ac:dyDescent="0.45">
      <c r="B119" s="145"/>
      <c r="C119" s="146"/>
      <c r="D119" s="146"/>
      <c r="E119" s="147"/>
      <c r="F119" s="147"/>
      <c r="G119" s="147"/>
      <c r="H119" s="147"/>
      <c r="I119" s="147"/>
      <c r="J119" s="147"/>
    </row>
    <row r="120" spans="2:11" x14ac:dyDescent="0.45">
      <c r="B120" s="147"/>
      <c r="C120" s="146"/>
      <c r="D120" s="147"/>
      <c r="E120" s="147"/>
      <c r="F120" s="147"/>
      <c r="G120" s="147"/>
      <c r="H120" s="147"/>
      <c r="I120" s="147"/>
      <c r="J120" s="147"/>
    </row>
    <row r="121" spans="2:11" x14ac:dyDescent="0.45">
      <c r="B121" s="147"/>
      <c r="C121" s="146"/>
      <c r="D121" s="147"/>
      <c r="E121" s="147"/>
      <c r="F121" s="147"/>
      <c r="G121" s="147"/>
      <c r="H121" s="147"/>
      <c r="I121" s="147"/>
      <c r="J121" s="147"/>
    </row>
    <row r="122" spans="2:11" x14ac:dyDescent="0.45">
      <c r="B122" s="147"/>
      <c r="C122" s="146"/>
      <c r="D122" s="147"/>
      <c r="E122" s="147"/>
      <c r="F122" s="147"/>
      <c r="G122" s="147"/>
      <c r="H122" s="147"/>
      <c r="I122" s="147"/>
      <c r="J122" s="147"/>
    </row>
  </sheetData>
  <sheetProtection sheet="1" objects="1" scenarios="1"/>
  <dataConsolidate/>
  <phoneticPr fontId="12" type="noConversion"/>
  <pageMargins left="0.75" right="0.75" top="1" bottom="1" header="0.5" footer="0.5"/>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9772" r:id="rId3" name="Drop Down 1">
              <controlPr defaultSize="0" autoFill="0" autoLine="0" autoPict="0">
                <anchor moveWithCells="1">
                  <from>
                    <xdr:col>3</xdr:col>
                    <xdr:colOff>714375</xdr:colOff>
                    <xdr:row>1</xdr:row>
                    <xdr:rowOff>238125</xdr:rowOff>
                  </from>
                  <to>
                    <xdr:col>5</xdr:col>
                    <xdr:colOff>114300</xdr:colOff>
                    <xdr:row>3</xdr:row>
                    <xdr:rowOff>9525</xdr:rowOff>
                  </to>
                </anchor>
              </controlPr>
            </control>
          </mc:Choice>
        </mc:AlternateContent>
        <mc:AlternateContent xmlns:mc="http://schemas.openxmlformats.org/markup-compatibility/2006">
          <mc:Choice Requires="x14">
            <control shapeId="29775" r:id="rId4" name="Drop Down 79">
              <controlPr defaultSize="0" autoFill="0" autoLine="0" autoPict="0">
                <anchor moveWithCells="1">
                  <from>
                    <xdr:col>3</xdr:col>
                    <xdr:colOff>0</xdr:colOff>
                    <xdr:row>78</xdr:row>
                    <xdr:rowOff>180975</xdr:rowOff>
                  </from>
                  <to>
                    <xdr:col>5</xdr:col>
                    <xdr:colOff>266700</xdr:colOff>
                    <xdr:row>80</xdr:row>
                    <xdr:rowOff>38100</xdr:rowOff>
                  </to>
                </anchor>
              </controlPr>
            </control>
          </mc:Choice>
        </mc:AlternateContent>
        <mc:AlternateContent xmlns:mc="http://schemas.openxmlformats.org/markup-compatibility/2006">
          <mc:Choice Requires="x14">
            <control shapeId="29777" r:id="rId5" name="Drop Down 81">
              <controlPr defaultSize="0" autoFill="0" autoLine="0" autoPict="0">
                <anchor moveWithCells="1">
                  <from>
                    <xdr:col>2</xdr:col>
                    <xdr:colOff>1295400</xdr:colOff>
                    <xdr:row>80</xdr:row>
                    <xdr:rowOff>161925</xdr:rowOff>
                  </from>
                  <to>
                    <xdr:col>5</xdr:col>
                    <xdr:colOff>257175</xdr:colOff>
                    <xdr:row>82</xdr:row>
                    <xdr:rowOff>28575</xdr:rowOff>
                  </to>
                </anchor>
              </controlPr>
            </control>
          </mc:Choice>
        </mc:AlternateContent>
        <mc:AlternateContent xmlns:mc="http://schemas.openxmlformats.org/markup-compatibility/2006">
          <mc:Choice Requires="x14">
            <control shapeId="29778" r:id="rId6" name="Drop Down 82">
              <controlPr defaultSize="0" autoFill="0" autoLine="0" autoPict="0">
                <anchor moveWithCells="1">
                  <from>
                    <xdr:col>3</xdr:col>
                    <xdr:colOff>0</xdr:colOff>
                    <xdr:row>82</xdr:row>
                    <xdr:rowOff>180975</xdr:rowOff>
                  </from>
                  <to>
                    <xdr:col>5</xdr:col>
                    <xdr:colOff>266700</xdr:colOff>
                    <xdr:row>84</xdr:row>
                    <xdr:rowOff>38100</xdr:rowOff>
                  </to>
                </anchor>
              </controlPr>
            </control>
          </mc:Choice>
        </mc:AlternateContent>
        <mc:AlternateContent xmlns:mc="http://schemas.openxmlformats.org/markup-compatibility/2006">
          <mc:Choice Requires="x14">
            <control shapeId="29780" r:id="rId7" name="Drop Down 84">
              <controlPr defaultSize="0" autoFill="0" autoLine="0" autoPict="0">
                <anchor moveWithCells="1">
                  <from>
                    <xdr:col>2</xdr:col>
                    <xdr:colOff>1223963</xdr:colOff>
                    <xdr:row>76</xdr:row>
                    <xdr:rowOff>185738</xdr:rowOff>
                  </from>
                  <to>
                    <xdr:col>5</xdr:col>
                    <xdr:colOff>266700</xdr:colOff>
                    <xdr:row>78</xdr:row>
                    <xdr:rowOff>38100</xdr:rowOff>
                  </to>
                </anchor>
              </controlPr>
            </control>
          </mc:Choice>
        </mc:AlternateContent>
        <mc:AlternateContent xmlns:mc="http://schemas.openxmlformats.org/markup-compatibility/2006">
          <mc:Choice Requires="x14">
            <control shapeId="29781" r:id="rId8" name="Drop Down 85">
              <controlPr defaultSize="0" autoFill="0" autoLine="0" autoPict="0">
                <anchor moveWithCells="1">
                  <from>
                    <xdr:col>2</xdr:col>
                    <xdr:colOff>1295400</xdr:colOff>
                    <xdr:row>88</xdr:row>
                    <xdr:rowOff>152400</xdr:rowOff>
                  </from>
                  <to>
                    <xdr:col>5</xdr:col>
                    <xdr:colOff>257175</xdr:colOff>
                    <xdr:row>90</xdr:row>
                    <xdr:rowOff>9525</xdr:rowOff>
                  </to>
                </anchor>
              </controlPr>
            </control>
          </mc:Choice>
        </mc:AlternateContent>
        <mc:AlternateContent xmlns:mc="http://schemas.openxmlformats.org/markup-compatibility/2006">
          <mc:Choice Requires="x14">
            <control shapeId="29783" r:id="rId9" name="Drop Down 87">
              <controlPr defaultSize="0" autoFill="0" autoLine="0" autoPict="0">
                <anchor moveWithCells="1">
                  <from>
                    <xdr:col>3</xdr:col>
                    <xdr:colOff>714375</xdr:colOff>
                    <xdr:row>3</xdr:row>
                    <xdr:rowOff>152400</xdr:rowOff>
                  </from>
                  <to>
                    <xdr:col>5</xdr:col>
                    <xdr:colOff>114300</xdr:colOff>
                    <xdr:row>5</xdr:row>
                    <xdr:rowOff>28575</xdr:rowOff>
                  </to>
                </anchor>
              </controlPr>
            </control>
          </mc:Choice>
        </mc:AlternateContent>
        <mc:AlternateContent xmlns:mc="http://schemas.openxmlformats.org/markup-compatibility/2006">
          <mc:Choice Requires="x14">
            <control shapeId="29784" r:id="rId10" name="Drop Down 88">
              <controlPr defaultSize="0" autoFill="0" autoLine="0" autoPict="0">
                <anchor moveWithCells="1">
                  <from>
                    <xdr:col>3</xdr:col>
                    <xdr:colOff>714375</xdr:colOff>
                    <xdr:row>5</xdr:row>
                    <xdr:rowOff>180975</xdr:rowOff>
                  </from>
                  <to>
                    <xdr:col>5</xdr:col>
                    <xdr:colOff>114300</xdr:colOff>
                    <xdr:row>7</xdr:row>
                    <xdr:rowOff>28575</xdr:rowOff>
                  </to>
                </anchor>
              </controlPr>
            </control>
          </mc:Choice>
        </mc:AlternateContent>
        <mc:AlternateContent xmlns:mc="http://schemas.openxmlformats.org/markup-compatibility/2006">
          <mc:Choice Requires="x14">
            <control shapeId="29744" r:id="rId11" name="Drop Down 48">
              <controlPr defaultSize="0" autoFill="0" autoLine="0" autoPict="0">
                <anchor moveWithCells="1">
                  <from>
                    <xdr:col>3</xdr:col>
                    <xdr:colOff>0</xdr:colOff>
                    <xdr:row>90</xdr:row>
                    <xdr:rowOff>180975</xdr:rowOff>
                  </from>
                  <to>
                    <xdr:col>5</xdr:col>
                    <xdr:colOff>238125</xdr:colOff>
                    <xdr:row>92</xdr:row>
                    <xdr:rowOff>38100</xdr:rowOff>
                  </to>
                </anchor>
              </controlPr>
            </control>
          </mc:Choice>
        </mc:AlternateContent>
        <mc:AlternateContent xmlns:mc="http://schemas.openxmlformats.org/markup-compatibility/2006">
          <mc:Choice Requires="x14">
            <control shapeId="29787" r:id="rId12" name="Drop Down 91">
              <controlPr defaultSize="0" autoFill="0" autoLine="0" autoPict="0">
                <anchor moveWithCells="1">
                  <from>
                    <xdr:col>2</xdr:col>
                    <xdr:colOff>1285875</xdr:colOff>
                    <xdr:row>99</xdr:row>
                    <xdr:rowOff>180975</xdr:rowOff>
                  </from>
                  <to>
                    <xdr:col>5</xdr:col>
                    <xdr:colOff>238125</xdr:colOff>
                    <xdr:row>101</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Y122"/>
  <sheetViews>
    <sheetView showGridLines="0" zoomScale="80" zoomScaleNormal="80" zoomScalePageLayoutView="80" workbookViewId="0"/>
  </sheetViews>
  <sheetFormatPr defaultColWidth="8.86328125" defaultRowHeight="15.4" x14ac:dyDescent="0.45"/>
  <cols>
    <col min="1" max="1" width="3.3984375" style="3" customWidth="1"/>
    <col min="2" max="2" width="29.73046875" style="3" customWidth="1"/>
    <col min="3" max="3" width="13.1328125" style="3" customWidth="1"/>
    <col min="4" max="4" width="12.265625" style="3" bestFit="1" customWidth="1"/>
    <col min="5" max="5" width="12.1328125" style="3" bestFit="1" customWidth="1"/>
    <col min="6" max="6" width="11.1328125" style="3" customWidth="1"/>
    <col min="7" max="7" width="12.3984375" style="3" customWidth="1"/>
    <col min="8" max="9" width="11.265625" style="3" customWidth="1"/>
    <col min="10" max="10" width="18.73046875" style="3" customWidth="1"/>
    <col min="11" max="11" width="10.73046875" style="3" bestFit="1" customWidth="1"/>
    <col min="12" max="12" width="8.86328125" style="3"/>
    <col min="13" max="13" width="25" style="3" customWidth="1"/>
    <col min="14" max="15" width="11.265625" style="3" customWidth="1"/>
    <col min="16" max="17" width="10.265625" style="3" customWidth="1"/>
    <col min="18" max="18" width="11.265625" style="3" customWidth="1"/>
    <col min="19" max="19" width="10.3984375" style="3" customWidth="1"/>
    <col min="20" max="20" width="10.86328125" style="3" customWidth="1"/>
    <col min="21" max="21" width="10.265625" style="3" customWidth="1"/>
    <col min="22" max="22" width="18.265625" style="3" customWidth="1"/>
    <col min="23" max="23" width="19.3984375" style="35" customWidth="1"/>
    <col min="24" max="24" width="19.3984375" style="22" customWidth="1"/>
    <col min="25" max="25" width="17" style="3" customWidth="1"/>
    <col min="26" max="16384" width="8.86328125" style="3"/>
  </cols>
  <sheetData>
    <row r="1" spans="2:25" ht="31.7" customHeight="1" x14ac:dyDescent="0.45">
      <c r="B1" s="21" t="s">
        <v>41</v>
      </c>
    </row>
    <row r="2" spans="2:25" x14ac:dyDescent="0.45">
      <c r="B2" s="22"/>
    </row>
    <row r="3" spans="2:25" ht="15.6" customHeight="1" x14ac:dyDescent="0.45">
      <c r="B3" s="42" t="s">
        <v>56</v>
      </c>
      <c r="C3" s="42" t="s">
        <v>72</v>
      </c>
      <c r="D3" s="42" t="str">
        <f>'Data input'!D9</f>
        <v>Bulls &gt;1</v>
      </c>
      <c r="E3" s="42" t="str">
        <f>'Data input'!E9</f>
        <v>Bulls&lt;1</v>
      </c>
      <c r="F3" s="42" t="str">
        <f>'Data input'!F9</f>
        <v>Steers&lt;1</v>
      </c>
      <c r="G3" s="42" t="str">
        <f>'Data input'!G9</f>
        <v>Cows 1 to 2</v>
      </c>
      <c r="H3" s="42" t="str">
        <f>'Data input'!H9</f>
        <v>Cows &gt;2</v>
      </c>
      <c r="I3" s="42" t="str">
        <f>'Data input'!I9</f>
        <v>Cows&lt;1</v>
      </c>
      <c r="J3" s="42" t="str">
        <f>'Data input'!J9</f>
        <v>Steers&gt;1</v>
      </c>
      <c r="K3" s="42" t="str">
        <f>'Data input'!K9</f>
        <v>Units</v>
      </c>
      <c r="M3" s="31" t="s">
        <v>57</v>
      </c>
      <c r="N3" s="31" t="s">
        <v>72</v>
      </c>
      <c r="O3" s="42" t="str">
        <f>'Data input'!D9</f>
        <v>Bulls &gt;1</v>
      </c>
      <c r="P3" s="42" t="str">
        <f>'Data input'!E9</f>
        <v>Bulls&lt;1</v>
      </c>
      <c r="Q3" s="42" t="str">
        <f>'Data input'!F9</f>
        <v>Steers&lt;1</v>
      </c>
      <c r="R3" s="42" t="str">
        <f>'Data input'!G9</f>
        <v>Cows 1 to 2</v>
      </c>
      <c r="S3" s="42" t="str">
        <f>'Data input'!H9</f>
        <v>Cows &gt;2</v>
      </c>
      <c r="T3" s="42" t="str">
        <f>'Data input'!I9</f>
        <v>Cows&lt;1</v>
      </c>
      <c r="U3" s="42" t="str">
        <f>'Data input'!J9</f>
        <v>Steers&gt;1</v>
      </c>
      <c r="V3" s="42" t="str">
        <f>'Data input'!K9</f>
        <v>Units</v>
      </c>
      <c r="W3" s="32" t="s">
        <v>185</v>
      </c>
      <c r="X3" s="519" t="s">
        <v>193</v>
      </c>
      <c r="Y3" s="32" t="s">
        <v>203</v>
      </c>
    </row>
    <row r="4" spans="2:25" x14ac:dyDescent="0.45">
      <c r="B4" s="33"/>
      <c r="C4" s="37"/>
      <c r="D4" s="33"/>
      <c r="E4" s="33"/>
      <c r="F4" s="33"/>
      <c r="G4" s="33"/>
      <c r="H4" s="33"/>
      <c r="I4" s="33"/>
      <c r="J4" s="33"/>
      <c r="K4" s="33"/>
      <c r="M4" s="37"/>
      <c r="N4" s="37"/>
      <c r="O4" s="37"/>
      <c r="P4" s="37"/>
      <c r="Q4" s="37"/>
      <c r="R4" s="37"/>
      <c r="S4" s="37"/>
      <c r="T4" s="37"/>
      <c r="U4" s="37"/>
      <c r="V4" s="37"/>
      <c r="W4" s="46"/>
      <c r="X4" s="519"/>
      <c r="Y4" s="520"/>
    </row>
    <row r="5" spans="2:25" x14ac:dyDescent="0.45">
      <c r="B5" s="33" t="s">
        <v>187</v>
      </c>
      <c r="C5" s="37" t="s">
        <v>24</v>
      </c>
      <c r="D5" s="37">
        <f>'Data input'!D10</f>
        <v>169</v>
      </c>
      <c r="E5" s="37">
        <f>'Data input'!E10</f>
        <v>51</v>
      </c>
      <c r="F5" s="37">
        <f>'Data input'!F10</f>
        <v>2213</v>
      </c>
      <c r="G5" s="37">
        <f>'Data input'!G10</f>
        <v>2018</v>
      </c>
      <c r="H5" s="37">
        <f>'Data input'!H10</f>
        <v>5612</v>
      </c>
      <c r="I5" s="37">
        <f>'Data input'!I10</f>
        <v>2322</v>
      </c>
      <c r="J5" s="38">
        <f>'Data input'!J10</f>
        <v>2353</v>
      </c>
      <c r="K5" s="37" t="str">
        <f>'Data input'!K10</f>
        <v>head</v>
      </c>
      <c r="M5" s="34" t="s">
        <v>29</v>
      </c>
      <c r="N5" s="37"/>
      <c r="O5" s="33" t="s">
        <v>758</v>
      </c>
      <c r="P5" s="37"/>
      <c r="Q5" s="37"/>
      <c r="R5" s="37"/>
      <c r="S5" s="37"/>
      <c r="T5" s="37"/>
      <c r="U5" s="37"/>
      <c r="V5" s="37"/>
      <c r="W5" s="46" t="s">
        <v>74</v>
      </c>
      <c r="X5" s="46" t="s">
        <v>194</v>
      </c>
      <c r="Y5" s="46" t="s">
        <v>759</v>
      </c>
    </row>
    <row r="6" spans="2:25" x14ac:dyDescent="0.45">
      <c r="B6" s="33"/>
      <c r="C6" s="37" t="s">
        <v>25</v>
      </c>
      <c r="D6" s="37">
        <f>'Data input'!D11</f>
        <v>158</v>
      </c>
      <c r="E6" s="37">
        <f>'Data input'!E11</f>
        <v>51</v>
      </c>
      <c r="F6" s="37">
        <f>'Data input'!F11</f>
        <v>2252</v>
      </c>
      <c r="G6" s="37">
        <f>'Data input'!G11</f>
        <v>2017</v>
      </c>
      <c r="H6" s="37">
        <f>'Data input'!H11</f>
        <v>4865</v>
      </c>
      <c r="I6" s="37">
        <f>'Data input'!I11</f>
        <v>2297</v>
      </c>
      <c r="J6" s="38">
        <f>'Data input'!J11</f>
        <v>1811</v>
      </c>
      <c r="K6" s="37" t="str">
        <f>'Data input'!K11</f>
        <v>head</v>
      </c>
      <c r="M6" s="37"/>
      <c r="N6" s="37" t="s">
        <v>24</v>
      </c>
      <c r="O6" s="188">
        <f>(1.185+(0.00454*D15)-(0.0000026*(D15)^2)+((0.315*D10)))^2</f>
        <v>10.539762249999999</v>
      </c>
      <c r="P6" s="188">
        <f t="shared" ref="O6:R9" si="0">(1.185+(0.00454*E15)-(0.0000026*(E15)^2)+((0.315*E10)))^2</f>
        <v>3.4861184232249993</v>
      </c>
      <c r="Q6" s="188">
        <f t="shared" si="0"/>
        <v>3.5628072515999993</v>
      </c>
      <c r="R6" s="188">
        <f t="shared" si="0"/>
        <v>6.9063839999999983</v>
      </c>
      <c r="S6" s="188">
        <f>((1.185+(0.00454*H15)-(0.0000026*(H15)^2)+((0.315*H10)))^2)*S14</f>
        <v>10.868685618328</v>
      </c>
      <c r="T6" s="188">
        <f t="shared" ref="T6:U9" si="1">(1.185+(0.00454*I15)-(0.0000026*(I15)^2)+((0.315*I10)))^2</f>
        <v>3.4861184232249993</v>
      </c>
      <c r="U6" s="188">
        <f t="shared" si="1"/>
        <v>6.5913373695999997</v>
      </c>
      <c r="V6" s="37" t="s">
        <v>75</v>
      </c>
      <c r="W6" s="46"/>
      <c r="X6" s="46"/>
      <c r="Y6" s="518"/>
    </row>
    <row r="7" spans="2:25" x14ac:dyDescent="0.45">
      <c r="B7" s="33"/>
      <c r="C7" s="37" t="s">
        <v>26</v>
      </c>
      <c r="D7" s="37">
        <f>'Data input'!D12</f>
        <v>148</v>
      </c>
      <c r="E7" s="37">
        <f>'Data input'!E12</f>
        <v>51</v>
      </c>
      <c r="F7" s="37">
        <f>'Data input'!F12</f>
        <v>2112</v>
      </c>
      <c r="G7" s="37">
        <f>'Data input'!G12</f>
        <v>1763</v>
      </c>
      <c r="H7" s="37">
        <f>'Data input'!H12</f>
        <v>4457</v>
      </c>
      <c r="I7" s="37">
        <f>'Data input'!I12</f>
        <v>2246</v>
      </c>
      <c r="J7" s="38">
        <f>'Data input'!J12</f>
        <v>285</v>
      </c>
      <c r="K7" s="37" t="str">
        <f>'Data input'!K12</f>
        <v>head</v>
      </c>
      <c r="M7" s="37"/>
      <c r="N7" s="37" t="s">
        <v>25</v>
      </c>
      <c r="O7" s="188">
        <f t="shared" si="0"/>
        <v>10.894950562499996</v>
      </c>
      <c r="P7" s="188">
        <f t="shared" si="0"/>
        <v>4.2675296400000011</v>
      </c>
      <c r="Q7" s="188">
        <f t="shared" si="0"/>
        <v>4.3571970121000003</v>
      </c>
      <c r="R7" s="188">
        <f t="shared" si="0"/>
        <v>6.9103265624999981</v>
      </c>
      <c r="S7" s="188">
        <f t="shared" ref="S7:S9" si="2">((1.185+(0.00454*H16)-(0.0000026*(H16)^2)+((0.315*H11)))^2)*S15</f>
        <v>9.7614849163859976</v>
      </c>
      <c r="T7" s="188">
        <f t="shared" si="1"/>
        <v>4.1255703225000007</v>
      </c>
      <c r="U7" s="188">
        <f t="shared" si="1"/>
        <v>6.5792249999999974</v>
      </c>
      <c r="V7" s="37" t="s">
        <v>75</v>
      </c>
      <c r="W7" s="46"/>
      <c r="X7" s="46"/>
      <c r="Y7" s="518"/>
    </row>
    <row r="8" spans="2:25" x14ac:dyDescent="0.45">
      <c r="B8" s="33"/>
      <c r="C8" s="37" t="s">
        <v>27</v>
      </c>
      <c r="D8" s="37">
        <f>'Data input'!D13</f>
        <v>148</v>
      </c>
      <c r="E8" s="37">
        <f>'Data input'!E13</f>
        <v>51</v>
      </c>
      <c r="F8" s="37">
        <f>'Data input'!F13</f>
        <v>2102</v>
      </c>
      <c r="G8" s="37">
        <f>'Data input'!G13</f>
        <v>1374</v>
      </c>
      <c r="H8" s="37">
        <f>'Data input'!H13</f>
        <v>4003</v>
      </c>
      <c r="I8" s="37">
        <f>'Data input'!I13</f>
        <v>2235</v>
      </c>
      <c r="J8" s="38">
        <f>'Data input'!J13</f>
        <v>542</v>
      </c>
      <c r="K8" s="37" t="str">
        <f>'Data input'!K13</f>
        <v>head</v>
      </c>
      <c r="M8" s="37"/>
      <c r="N8" s="37" t="s">
        <v>26</v>
      </c>
      <c r="O8" s="188">
        <f t="shared" si="0"/>
        <v>10.675739390624999</v>
      </c>
      <c r="P8" s="188">
        <f t="shared" si="0"/>
        <v>4.9798154024999999</v>
      </c>
      <c r="Q8" s="188">
        <f t="shared" si="0"/>
        <v>4.8330285122250007</v>
      </c>
      <c r="R8" s="188">
        <f t="shared" si="0"/>
        <v>6.3357420681000001</v>
      </c>
      <c r="S8" s="188">
        <f t="shared" si="2"/>
        <v>7.2956711025000001</v>
      </c>
      <c r="T8" s="188">
        <f t="shared" si="1"/>
        <v>4.6753250624999989</v>
      </c>
      <c r="U8" s="188">
        <f t="shared" si="1"/>
        <v>6.6850170916000025</v>
      </c>
      <c r="V8" s="37" t="s">
        <v>75</v>
      </c>
      <c r="W8" s="46"/>
      <c r="X8" s="46"/>
      <c r="Y8" s="518"/>
    </row>
    <row r="9" spans="2:25" x14ac:dyDescent="0.45">
      <c r="B9" s="33"/>
      <c r="C9" s="37"/>
      <c r="D9" s="37"/>
      <c r="E9" s="37"/>
      <c r="F9" s="37"/>
      <c r="G9" s="37"/>
      <c r="H9" s="37"/>
      <c r="I9" s="37"/>
      <c r="J9" s="37"/>
      <c r="K9" s="37"/>
      <c r="M9" s="37"/>
      <c r="N9" s="37" t="s">
        <v>27</v>
      </c>
      <c r="O9" s="188">
        <f t="shared" si="0"/>
        <v>9.0237156024999976</v>
      </c>
      <c r="P9" s="188">
        <f t="shared" si="0"/>
        <v>4.2369693920999989</v>
      </c>
      <c r="Q9" s="188">
        <f t="shared" si="0"/>
        <v>5.0587207056000016</v>
      </c>
      <c r="R9" s="188">
        <f t="shared" si="0"/>
        <v>6.7811284835999981</v>
      </c>
      <c r="S9" s="188">
        <f t="shared" si="2"/>
        <v>6.6803639296000012</v>
      </c>
      <c r="T9" s="188">
        <f t="shared" si="1"/>
        <v>4.7578079375999991</v>
      </c>
      <c r="U9" s="188">
        <f t="shared" si="1"/>
        <v>7.2482639075999984</v>
      </c>
      <c r="V9" s="37" t="s">
        <v>75</v>
      </c>
      <c r="W9" s="46"/>
      <c r="X9" s="46"/>
      <c r="Y9" s="518"/>
    </row>
    <row r="10" spans="2:25" x14ac:dyDescent="0.45">
      <c r="B10" s="33" t="s">
        <v>0</v>
      </c>
      <c r="C10" s="37" t="s">
        <v>24</v>
      </c>
      <c r="D10" s="37">
        <f>'Data input'!D22</f>
        <v>0.5</v>
      </c>
      <c r="E10" s="37">
        <f>'Data input'!E22</f>
        <v>1</v>
      </c>
      <c r="F10" s="37">
        <f>'Data input'!F22</f>
        <v>1</v>
      </c>
      <c r="G10" s="37">
        <f>'Data input'!G22</f>
        <v>1</v>
      </c>
      <c r="H10" s="37">
        <f>'Data input'!H22</f>
        <v>0.5</v>
      </c>
      <c r="I10" s="37">
        <f>'Data input'!I22</f>
        <v>1</v>
      </c>
      <c r="J10" s="38">
        <f>'Data input'!J22</f>
        <v>1</v>
      </c>
      <c r="K10" s="37" t="str">
        <f>'Data input'!K22</f>
        <v>kg/day</v>
      </c>
      <c r="M10" s="37"/>
      <c r="N10" s="37"/>
      <c r="O10" s="37"/>
      <c r="P10" s="37"/>
      <c r="Q10" s="37"/>
      <c r="R10" s="37"/>
      <c r="S10" s="37"/>
      <c r="T10" s="37"/>
      <c r="U10" s="37"/>
      <c r="V10" s="37"/>
      <c r="W10" s="46"/>
      <c r="X10" s="46"/>
      <c r="Y10" s="518"/>
    </row>
    <row r="11" spans="2:25" x14ac:dyDescent="0.45">
      <c r="B11" s="33"/>
      <c r="C11" s="37" t="s">
        <v>25</v>
      </c>
      <c r="D11" s="37">
        <f>'Data input'!D23</f>
        <v>0.55000000000000004</v>
      </c>
      <c r="E11" s="37">
        <f>'Data input'!E23</f>
        <v>0.82</v>
      </c>
      <c r="F11" s="37">
        <f>'Data input'!F23</f>
        <v>0.77</v>
      </c>
      <c r="G11" s="37">
        <f>'Data input'!G23</f>
        <v>0.55000000000000004</v>
      </c>
      <c r="H11" s="37">
        <f>'Data input'!H23</f>
        <v>0.44</v>
      </c>
      <c r="I11" s="37">
        <f>'Data input'!I23</f>
        <v>0.71</v>
      </c>
      <c r="J11" s="38">
        <f>'Data input'!J23</f>
        <v>0.8</v>
      </c>
      <c r="K11" s="37" t="str">
        <f>'Data input'!K23</f>
        <v>kg/day</v>
      </c>
      <c r="M11" s="33" t="s">
        <v>76</v>
      </c>
      <c r="N11" s="37"/>
      <c r="O11" s="33" t="s">
        <v>58</v>
      </c>
      <c r="P11" s="37"/>
      <c r="Q11" s="37"/>
      <c r="R11" s="37"/>
      <c r="S11" s="37"/>
      <c r="T11" s="37"/>
      <c r="U11" s="37"/>
      <c r="V11" s="37" t="s">
        <v>75</v>
      </c>
      <c r="W11" s="46" t="s">
        <v>77</v>
      </c>
      <c r="X11" s="46" t="s">
        <v>195</v>
      </c>
      <c r="Y11" s="46" t="s">
        <v>759</v>
      </c>
    </row>
    <row r="12" spans="2:25" x14ac:dyDescent="0.45">
      <c r="B12" s="33"/>
      <c r="C12" s="37" t="s">
        <v>26</v>
      </c>
      <c r="D12" s="37">
        <f>'Data input'!D24</f>
        <v>0.5</v>
      </c>
      <c r="E12" s="37">
        <f>'Data input'!E24</f>
        <v>0.77</v>
      </c>
      <c r="F12" s="37">
        <f>'Data input'!F24</f>
        <v>0.5</v>
      </c>
      <c r="G12" s="37">
        <f>'Data input'!G24</f>
        <v>0.11</v>
      </c>
      <c r="H12" s="37">
        <f>'Data input'!H24</f>
        <v>-0.33</v>
      </c>
      <c r="I12" s="37">
        <f>'Data input'!I24</f>
        <v>0.55000000000000004</v>
      </c>
      <c r="J12" s="38">
        <f>'Data input'!J24</f>
        <v>0.5</v>
      </c>
      <c r="K12" s="37" t="str">
        <f>'Data input'!K24</f>
        <v>kg/day</v>
      </c>
      <c r="M12" s="37"/>
      <c r="N12" s="37"/>
      <c r="O12" s="37" t="s">
        <v>78</v>
      </c>
      <c r="P12" s="37"/>
      <c r="Q12" s="37"/>
      <c r="R12" s="37"/>
      <c r="S12" s="37"/>
      <c r="T12" s="37"/>
      <c r="U12" s="37"/>
      <c r="V12" s="37"/>
      <c r="W12" s="46"/>
      <c r="X12" s="46"/>
      <c r="Y12" s="518"/>
    </row>
    <row r="13" spans="2:25" x14ac:dyDescent="0.45">
      <c r="B13" s="33"/>
      <c r="C13" s="37" t="s">
        <v>27</v>
      </c>
      <c r="D13" s="37">
        <f>'Data input'!D25</f>
        <v>-0.27</v>
      </c>
      <c r="E13" s="37">
        <f>'Data input'!E25</f>
        <v>0.11</v>
      </c>
      <c r="F13" s="37">
        <f>'Data input'!F25</f>
        <v>0.5</v>
      </c>
      <c r="G13" s="37">
        <f>'Data input'!G25</f>
        <v>0.22</v>
      </c>
      <c r="H13" s="37">
        <f>'Data input'!H25</f>
        <v>-0.44</v>
      </c>
      <c r="I13" s="37">
        <f>'Data input'!I25</f>
        <v>0.5</v>
      </c>
      <c r="J13" s="38">
        <f>'Data input'!J25</f>
        <v>0.5</v>
      </c>
      <c r="K13" s="37" t="str">
        <f>'Data input'!K25</f>
        <v>kg/day</v>
      </c>
      <c r="M13" s="37"/>
      <c r="N13" s="37"/>
      <c r="O13" s="37" t="s">
        <v>79</v>
      </c>
      <c r="P13" s="37"/>
      <c r="Q13" s="37"/>
      <c r="R13" s="37"/>
      <c r="S13" s="37"/>
      <c r="T13" s="37"/>
      <c r="U13" s="37"/>
      <c r="V13" s="37"/>
      <c r="W13" s="46" t="s">
        <v>80</v>
      </c>
      <c r="X13" s="46"/>
      <c r="Y13" s="518"/>
    </row>
    <row r="14" spans="2:25" x14ac:dyDescent="0.45">
      <c r="B14" s="33"/>
      <c r="C14" s="37"/>
      <c r="D14" s="37"/>
      <c r="E14" s="37"/>
      <c r="F14" s="37"/>
      <c r="G14" s="37"/>
      <c r="H14" s="37"/>
      <c r="I14" s="37"/>
      <c r="J14" s="38"/>
      <c r="K14" s="37"/>
      <c r="M14" s="37"/>
      <c r="N14" s="37" t="s">
        <v>24</v>
      </c>
      <c r="O14" s="37"/>
      <c r="P14" s="37"/>
      <c r="Q14" s="37"/>
      <c r="R14" s="37"/>
      <c r="S14" s="44">
        <f>(H25*H31)+((1-H25)*1)</f>
        <v>1.2549999999999999</v>
      </c>
      <c r="T14" s="37"/>
      <c r="U14" s="37"/>
      <c r="V14" s="37"/>
      <c r="W14" s="46"/>
      <c r="X14" s="46"/>
      <c r="Y14" s="518"/>
    </row>
    <row r="15" spans="2:25" x14ac:dyDescent="0.45">
      <c r="B15" s="33" t="s">
        <v>73</v>
      </c>
      <c r="C15" s="37" t="s">
        <v>24</v>
      </c>
      <c r="D15" s="37">
        <f>'Data input'!D16</f>
        <v>700</v>
      </c>
      <c r="E15" s="37">
        <f>'Data input'!E16</f>
        <v>85</v>
      </c>
      <c r="F15" s="37">
        <f>'Data input'!F16</f>
        <v>90</v>
      </c>
      <c r="G15" s="37">
        <f>'Data input'!G16</f>
        <v>300</v>
      </c>
      <c r="H15" s="37">
        <f>'Data input'!H16</f>
        <v>490</v>
      </c>
      <c r="I15" s="37">
        <f>'Data input'!I16</f>
        <v>85</v>
      </c>
      <c r="J15" s="38">
        <f>'Data input'!J16</f>
        <v>280</v>
      </c>
      <c r="K15" s="37" t="str">
        <f>'Data input'!K16</f>
        <v>kg/head</v>
      </c>
      <c r="M15" s="37"/>
      <c r="N15" s="37" t="s">
        <v>25</v>
      </c>
      <c r="O15" s="37"/>
      <c r="P15" s="37"/>
      <c r="Q15" s="37"/>
      <c r="R15" s="37"/>
      <c r="S15" s="44">
        <f>(H26*H32)+((1-H26)*1)</f>
        <v>1.085</v>
      </c>
      <c r="T15" s="37"/>
      <c r="U15" s="37"/>
      <c r="V15" s="37"/>
      <c r="W15" s="46"/>
      <c r="X15" s="46"/>
      <c r="Y15" s="518"/>
    </row>
    <row r="16" spans="2:25" x14ac:dyDescent="0.45">
      <c r="B16" s="33"/>
      <c r="C16" s="37" t="s">
        <v>25</v>
      </c>
      <c r="D16" s="37">
        <f>'Data input'!D17</f>
        <v>750</v>
      </c>
      <c r="E16" s="37">
        <f>'Data input'!E17</f>
        <v>150</v>
      </c>
      <c r="F16" s="37">
        <f>'Data input'!F17</f>
        <v>160</v>
      </c>
      <c r="G16" s="37">
        <f>'Data input'!G17</f>
        <v>350</v>
      </c>
      <c r="H16" s="37">
        <f>'Data input'!H17</f>
        <v>530</v>
      </c>
      <c r="I16" s="37">
        <f>'Data input'!I17</f>
        <v>150</v>
      </c>
      <c r="J16" s="38">
        <f>'Data input'!J17</f>
        <v>300</v>
      </c>
      <c r="K16" s="37" t="str">
        <f>'Data input'!K17</f>
        <v>kg/head</v>
      </c>
      <c r="M16" s="37"/>
      <c r="N16" s="37" t="s">
        <v>26</v>
      </c>
      <c r="O16" s="37"/>
      <c r="P16" s="37"/>
      <c r="Q16" s="37"/>
      <c r="R16" s="37"/>
      <c r="S16" s="44">
        <f>(H27*H33)+((1-H27)*1)</f>
        <v>1</v>
      </c>
      <c r="T16" s="37"/>
      <c r="U16" s="37"/>
      <c r="V16" s="37"/>
      <c r="W16" s="46"/>
      <c r="X16" s="46"/>
      <c r="Y16" s="518"/>
    </row>
    <row r="17" spans="2:25" x14ac:dyDescent="0.45">
      <c r="B17" s="33"/>
      <c r="C17" s="37" t="s">
        <v>26</v>
      </c>
      <c r="D17" s="37">
        <f>'Data input'!D18</f>
        <v>725</v>
      </c>
      <c r="E17" s="37">
        <f>'Data input'!E18</f>
        <v>200</v>
      </c>
      <c r="F17" s="37">
        <f>'Data input'!F18</f>
        <v>215</v>
      </c>
      <c r="G17" s="37">
        <f>'Data input'!G18</f>
        <v>360</v>
      </c>
      <c r="H17" s="37">
        <f>'Data input'!H18</f>
        <v>500</v>
      </c>
      <c r="I17" s="37">
        <f>'Data input'!I18</f>
        <v>200</v>
      </c>
      <c r="J17" s="38">
        <f>'Data input'!J18</f>
        <v>340</v>
      </c>
      <c r="K17" s="37" t="str">
        <f>'Data input'!K18</f>
        <v>kg/head</v>
      </c>
      <c r="M17" s="37"/>
      <c r="N17" s="37" t="s">
        <v>27</v>
      </c>
      <c r="O17" s="37"/>
      <c r="P17" s="37"/>
      <c r="Q17" s="37"/>
      <c r="R17" s="37"/>
      <c r="S17" s="44">
        <f>(H28*H34)+((1-H28)*1)</f>
        <v>1</v>
      </c>
      <c r="T17" s="37"/>
      <c r="U17" s="37"/>
      <c r="V17" s="37"/>
      <c r="W17" s="46"/>
      <c r="X17" s="46"/>
      <c r="Y17" s="518"/>
    </row>
    <row r="18" spans="2:25" x14ac:dyDescent="0.45">
      <c r="B18" s="33"/>
      <c r="C18" s="37" t="s">
        <v>27</v>
      </c>
      <c r="D18" s="37">
        <f>'Data input'!D19</f>
        <v>700</v>
      </c>
      <c r="E18" s="37">
        <f>'Data input'!E19</f>
        <v>210</v>
      </c>
      <c r="F18" s="37">
        <f>'Data input'!F19</f>
        <v>230</v>
      </c>
      <c r="G18" s="37">
        <f>'Data input'!G19</f>
        <v>380</v>
      </c>
      <c r="H18" s="37">
        <f>'Data input'!H19</f>
        <v>460</v>
      </c>
      <c r="I18" s="37">
        <f>'Data input'!I19</f>
        <v>210</v>
      </c>
      <c r="J18" s="38">
        <f>'Data input'!J19</f>
        <v>380</v>
      </c>
      <c r="K18" s="37" t="str">
        <f>'Data input'!K19</f>
        <v>kg/head</v>
      </c>
      <c r="M18" s="37"/>
      <c r="N18" s="37"/>
      <c r="O18" s="37"/>
      <c r="P18" s="37"/>
      <c r="Q18" s="37"/>
      <c r="R18" s="37"/>
      <c r="S18" s="37"/>
      <c r="T18" s="37"/>
      <c r="U18" s="37"/>
      <c r="V18" s="37"/>
      <c r="W18" s="518"/>
      <c r="X18" s="46"/>
      <c r="Y18" s="518"/>
    </row>
    <row r="19" spans="2:25" x14ac:dyDescent="0.45">
      <c r="B19" s="33"/>
      <c r="C19" s="37"/>
      <c r="D19" s="37"/>
      <c r="E19" s="37"/>
      <c r="F19" s="37"/>
      <c r="G19" s="37"/>
      <c r="H19" s="37"/>
      <c r="I19" s="37"/>
      <c r="J19" s="38"/>
      <c r="K19" s="37"/>
      <c r="M19" s="33" t="s">
        <v>84</v>
      </c>
      <c r="N19" s="37"/>
      <c r="O19" s="33" t="s">
        <v>368</v>
      </c>
      <c r="P19" s="33"/>
      <c r="Q19" s="37"/>
      <c r="R19" s="37"/>
      <c r="S19" s="37"/>
      <c r="T19" s="37"/>
      <c r="U19" s="37"/>
      <c r="V19" s="37"/>
      <c r="W19" s="46" t="s">
        <v>197</v>
      </c>
      <c r="X19" s="46" t="s">
        <v>196</v>
      </c>
      <c r="Y19" s="46" t="s">
        <v>205</v>
      </c>
    </row>
    <row r="20" spans="2:25" x14ac:dyDescent="0.45">
      <c r="B20" s="33" t="s">
        <v>180</v>
      </c>
      <c r="C20" s="37" t="s">
        <v>24</v>
      </c>
      <c r="D20" s="37">
        <f>'Data input'!D34</f>
        <v>48</v>
      </c>
      <c r="E20" s="37">
        <f>'Data input'!E34</f>
        <v>48</v>
      </c>
      <c r="F20" s="37">
        <f>'Data input'!F34</f>
        <v>48</v>
      </c>
      <c r="G20" s="37">
        <f>'Data input'!G34</f>
        <v>48</v>
      </c>
      <c r="H20" s="37">
        <f>'Data input'!H34</f>
        <v>48</v>
      </c>
      <c r="I20" s="37">
        <f>'Data input'!I34</f>
        <v>48</v>
      </c>
      <c r="J20" s="38">
        <f>'Data input'!J34</f>
        <v>48</v>
      </c>
      <c r="K20" s="37" t="str">
        <f>'Data input'!K34</f>
        <v>%</v>
      </c>
      <c r="M20" s="37"/>
      <c r="N20" s="37" t="s">
        <v>24</v>
      </c>
      <c r="O20" s="188">
        <f>(20.7*O6)/1000</f>
        <v>0.21817307857499998</v>
      </c>
      <c r="P20" s="188">
        <f t="shared" ref="P20:U20" si="3">(20.7*P6)/1000</f>
        <v>7.2162651360757474E-2</v>
      </c>
      <c r="Q20" s="188">
        <f t="shared" si="3"/>
        <v>7.3750110108119979E-2</v>
      </c>
      <c r="R20" s="188">
        <f t="shared" si="3"/>
        <v>0.14296214879999997</v>
      </c>
      <c r="S20" s="188">
        <f t="shared" si="3"/>
        <v>0.22498179229938958</v>
      </c>
      <c r="T20" s="188">
        <f t="shared" si="3"/>
        <v>7.2162651360757474E-2</v>
      </c>
      <c r="U20" s="188">
        <f t="shared" si="3"/>
        <v>0.13644068355072</v>
      </c>
      <c r="V20" s="37" t="s">
        <v>83</v>
      </c>
      <c r="W20" s="46"/>
      <c r="X20" s="46"/>
      <c r="Y20" s="518"/>
    </row>
    <row r="21" spans="2:25" x14ac:dyDescent="0.45">
      <c r="B21" s="33"/>
      <c r="C21" s="37" t="s">
        <v>25</v>
      </c>
      <c r="D21" s="37">
        <f>'Data input'!D35</f>
        <v>56</v>
      </c>
      <c r="E21" s="37">
        <f>'Data input'!E35</f>
        <v>56</v>
      </c>
      <c r="F21" s="37">
        <f>'Data input'!F35</f>
        <v>56</v>
      </c>
      <c r="G21" s="37">
        <f>'Data input'!G35</f>
        <v>56</v>
      </c>
      <c r="H21" s="37">
        <f>'Data input'!H35</f>
        <v>56</v>
      </c>
      <c r="I21" s="37">
        <f>'Data input'!I35</f>
        <v>56</v>
      </c>
      <c r="J21" s="38">
        <f>'Data input'!J35</f>
        <v>56</v>
      </c>
      <c r="K21" s="37" t="str">
        <f>'Data input'!K35</f>
        <v>%</v>
      </c>
      <c r="M21" s="37"/>
      <c r="N21" s="37" t="s">
        <v>25</v>
      </c>
      <c r="O21" s="188">
        <f t="shared" ref="O21:U21" si="4">(20.7*O7)/1000</f>
        <v>0.22552547664374992</v>
      </c>
      <c r="P21" s="188">
        <f t="shared" si="4"/>
        <v>8.8337863548000009E-2</v>
      </c>
      <c r="Q21" s="188">
        <f t="shared" si="4"/>
        <v>9.0193978150470006E-2</v>
      </c>
      <c r="R21" s="188">
        <f t="shared" si="4"/>
        <v>0.14304375984374998</v>
      </c>
      <c r="S21" s="188">
        <f t="shared" si="4"/>
        <v>0.20206273776919015</v>
      </c>
      <c r="T21" s="188">
        <f t="shared" si="4"/>
        <v>8.539930567575002E-2</v>
      </c>
      <c r="U21" s="188">
        <f t="shared" si="4"/>
        <v>0.13618995749999993</v>
      </c>
      <c r="V21" s="37" t="s">
        <v>83</v>
      </c>
      <c r="W21" s="46"/>
      <c r="X21" s="46"/>
      <c r="Y21" s="518"/>
    </row>
    <row r="22" spans="2:25" x14ac:dyDescent="0.45">
      <c r="B22" s="33"/>
      <c r="C22" s="37" t="s">
        <v>26</v>
      </c>
      <c r="D22" s="37">
        <f>'Data input'!D36</f>
        <v>53</v>
      </c>
      <c r="E22" s="37">
        <f>'Data input'!E36</f>
        <v>53</v>
      </c>
      <c r="F22" s="37">
        <f>'Data input'!F36</f>
        <v>53</v>
      </c>
      <c r="G22" s="37">
        <f>'Data input'!G36</f>
        <v>53</v>
      </c>
      <c r="H22" s="37">
        <f>'Data input'!H36</f>
        <v>53</v>
      </c>
      <c r="I22" s="37">
        <f>'Data input'!I36</f>
        <v>53</v>
      </c>
      <c r="J22" s="38">
        <f>'Data input'!J36</f>
        <v>53</v>
      </c>
      <c r="K22" s="37" t="str">
        <f>'Data input'!K36</f>
        <v>%</v>
      </c>
      <c r="M22" s="37"/>
      <c r="N22" s="37" t="s">
        <v>26</v>
      </c>
      <c r="O22" s="188">
        <f t="shared" ref="O22:U22" si="5">(20.7*O8)/1000</f>
        <v>0.22098780538593746</v>
      </c>
      <c r="P22" s="188">
        <f t="shared" si="5"/>
        <v>0.10308217883175</v>
      </c>
      <c r="Q22" s="188">
        <f t="shared" si="5"/>
        <v>0.10004369020305751</v>
      </c>
      <c r="R22" s="188">
        <f t="shared" si="5"/>
        <v>0.13114986080967</v>
      </c>
      <c r="S22" s="188">
        <f t="shared" si="5"/>
        <v>0.15102039182175001</v>
      </c>
      <c r="T22" s="188">
        <f t="shared" si="5"/>
        <v>9.6779228793749977E-2</v>
      </c>
      <c r="U22" s="188">
        <f t="shared" si="5"/>
        <v>0.13837985379612006</v>
      </c>
      <c r="V22" s="37" t="s">
        <v>83</v>
      </c>
      <c r="W22" s="46"/>
      <c r="X22" s="46"/>
      <c r="Y22" s="518"/>
    </row>
    <row r="23" spans="2:25" x14ac:dyDescent="0.45">
      <c r="B23" s="33"/>
      <c r="C23" s="37" t="s">
        <v>27</v>
      </c>
      <c r="D23" s="37">
        <f>'Data input'!D37</f>
        <v>51</v>
      </c>
      <c r="E23" s="37">
        <f>'Data input'!E37</f>
        <v>51</v>
      </c>
      <c r="F23" s="37">
        <f>'Data input'!F37</f>
        <v>51</v>
      </c>
      <c r="G23" s="37">
        <f>'Data input'!G37</f>
        <v>51</v>
      </c>
      <c r="H23" s="37">
        <f>'Data input'!H37</f>
        <v>51</v>
      </c>
      <c r="I23" s="37">
        <f>'Data input'!I37</f>
        <v>51</v>
      </c>
      <c r="J23" s="38">
        <f>'Data input'!J37</f>
        <v>51</v>
      </c>
      <c r="K23" s="37" t="str">
        <f>'Data input'!K37</f>
        <v>%</v>
      </c>
      <c r="M23" s="37"/>
      <c r="N23" s="37" t="s">
        <v>27</v>
      </c>
      <c r="O23" s="188">
        <f t="shared" ref="O23:U23" si="6">(20.7*O9)/1000</f>
        <v>0.18679091297174993</v>
      </c>
      <c r="P23" s="188">
        <f t="shared" si="6"/>
        <v>8.7705266416469974E-2</v>
      </c>
      <c r="Q23" s="188">
        <f t="shared" si="6"/>
        <v>0.10471551860592003</v>
      </c>
      <c r="R23" s="188">
        <f t="shared" si="6"/>
        <v>0.14036935961051994</v>
      </c>
      <c r="S23" s="188">
        <f t="shared" si="6"/>
        <v>0.13828353334272003</v>
      </c>
      <c r="T23" s="188">
        <f t="shared" si="6"/>
        <v>9.8486624308319975E-2</v>
      </c>
      <c r="U23" s="188">
        <f t="shared" si="6"/>
        <v>0.15003906288731997</v>
      </c>
      <c r="V23" s="37" t="s">
        <v>83</v>
      </c>
      <c r="W23" s="46"/>
      <c r="X23" s="46"/>
      <c r="Y23" s="518"/>
    </row>
    <row r="24" spans="2:25" x14ac:dyDescent="0.45">
      <c r="B24" s="33"/>
      <c r="C24" s="37"/>
      <c r="D24" s="37"/>
      <c r="E24" s="37"/>
      <c r="F24" s="37"/>
      <c r="G24" s="37"/>
      <c r="H24" s="37"/>
      <c r="I24" s="37"/>
      <c r="J24" s="38"/>
      <c r="K24" s="37"/>
      <c r="M24" s="37"/>
      <c r="N24" s="37"/>
      <c r="O24" s="37"/>
      <c r="P24" s="37"/>
      <c r="Q24" s="37"/>
      <c r="R24" s="37"/>
      <c r="S24" s="37"/>
      <c r="T24" s="37"/>
      <c r="U24" s="37"/>
      <c r="V24" s="37"/>
      <c r="W24" s="46"/>
      <c r="X24" s="46"/>
      <c r="Y24" s="518"/>
    </row>
    <row r="25" spans="2:25" x14ac:dyDescent="0.45">
      <c r="B25" s="33" t="s">
        <v>81</v>
      </c>
      <c r="C25" s="37" t="s">
        <v>24</v>
      </c>
      <c r="D25" s="37"/>
      <c r="E25" s="37"/>
      <c r="F25" s="37"/>
      <c r="G25" s="37"/>
      <c r="H25" s="37">
        <f>'Data input'!H105</f>
        <v>0.85</v>
      </c>
      <c r="I25" s="37"/>
      <c r="J25" s="38"/>
      <c r="K25" s="37"/>
      <c r="M25" s="37"/>
      <c r="N25" s="37"/>
      <c r="O25" s="37"/>
      <c r="P25" s="37"/>
      <c r="Q25" s="37"/>
      <c r="R25" s="37"/>
      <c r="S25" s="37"/>
      <c r="T25" s="37"/>
      <c r="U25" s="37"/>
      <c r="V25" s="37"/>
      <c r="W25" s="46"/>
      <c r="X25" s="46"/>
      <c r="Y25" s="518"/>
    </row>
    <row r="26" spans="2:25" ht="18.75" x14ac:dyDescent="0.6">
      <c r="B26" s="33"/>
      <c r="C26" s="37" t="s">
        <v>25</v>
      </c>
      <c r="D26" s="37"/>
      <c r="E26" s="37"/>
      <c r="F26" s="37"/>
      <c r="G26" s="37"/>
      <c r="H26" s="37">
        <f>'Data input'!H106</f>
        <v>0.85</v>
      </c>
      <c r="I26" s="37"/>
      <c r="J26" s="38"/>
      <c r="K26" s="37"/>
      <c r="M26" s="33" t="s">
        <v>92</v>
      </c>
      <c r="N26" s="33" t="s">
        <v>86</v>
      </c>
      <c r="O26" s="37"/>
      <c r="P26" s="37"/>
      <c r="Q26" s="37"/>
      <c r="R26" s="37"/>
      <c r="S26" s="37"/>
      <c r="T26" s="37"/>
      <c r="U26" s="37"/>
      <c r="V26" s="37"/>
      <c r="W26" s="46" t="s">
        <v>85</v>
      </c>
      <c r="X26" s="46" t="s">
        <v>198</v>
      </c>
      <c r="Y26" s="46" t="s">
        <v>759</v>
      </c>
    </row>
    <row r="27" spans="2:25" x14ac:dyDescent="0.45">
      <c r="B27" s="33"/>
      <c r="C27" s="37" t="s">
        <v>26</v>
      </c>
      <c r="D27" s="37"/>
      <c r="E27" s="37"/>
      <c r="F27" s="37"/>
      <c r="G27" s="37"/>
      <c r="H27" s="37">
        <f>'Data input'!H107</f>
        <v>0</v>
      </c>
      <c r="I27" s="37"/>
      <c r="J27" s="38"/>
      <c r="K27" s="37"/>
      <c r="M27" s="37"/>
      <c r="N27" s="37" t="s">
        <v>24</v>
      </c>
      <c r="O27" s="189">
        <f>91.25*'Enteric fermentation'!D5*'Enteric fermentation'!O20*10^-6</f>
        <v>3.3645015879747182E-3</v>
      </c>
      <c r="P27" s="189">
        <f>91.25*'Enteric fermentation'!E5*'Enteric fermentation'!P20*10^-6</f>
        <v>3.3582693877012507E-4</v>
      </c>
      <c r="Q27" s="189">
        <f>91.25*'Enteric fermentation'!F5*'Enteric fermentation'!Q20*10^-6</f>
        <v>1.4892820672320842E-2</v>
      </c>
      <c r="R27" s="189">
        <f>91.25*'Enteric fermentation'!G5*'Enteric fermentation'!R20*10^-6</f>
        <v>2.6325407485403993E-2</v>
      </c>
      <c r="S27" s="189">
        <f>91.25*'Enteric fermentation'!H5*'Enteric fermentation'!S20*10^-6</f>
        <v>0.11521205092755589</v>
      </c>
      <c r="T27" s="189">
        <f>91.25*'Enteric fermentation'!I5*'Enteric fermentation'!T20*10^-6</f>
        <v>1.5290002976945695E-2</v>
      </c>
      <c r="U27" s="189">
        <f>91.25*'Enteric fermentation'!J5*'Enteric fermentation'!U20*10^-6</f>
        <v>2.9295349716029529E-2</v>
      </c>
      <c r="V27" s="37" t="s">
        <v>87</v>
      </c>
      <c r="W27" s="46"/>
      <c r="X27" s="46"/>
      <c r="Y27" s="518"/>
    </row>
    <row r="28" spans="2:25" x14ac:dyDescent="0.45">
      <c r="B28" s="33"/>
      <c r="C28" s="37" t="s">
        <v>27</v>
      </c>
      <c r="D28" s="37"/>
      <c r="E28" s="37"/>
      <c r="F28" s="37"/>
      <c r="G28" s="37"/>
      <c r="H28" s="37">
        <f>'Data input'!H108</f>
        <v>0</v>
      </c>
      <c r="I28" s="37"/>
      <c r="J28" s="38"/>
      <c r="K28" s="37"/>
      <c r="M28" s="37"/>
      <c r="N28" s="37" t="s">
        <v>25</v>
      </c>
      <c r="O28" s="189">
        <f>91.25*'Enteric fermentation'!D6*'Enteric fermentation'!O21*10^-6</f>
        <v>3.2515135595112643E-3</v>
      </c>
      <c r="P28" s="189">
        <f>91.25*'Enteric fermentation'!E6*'Enteric fermentation'!P21*10^-6</f>
        <v>4.1110233248650501E-4</v>
      </c>
      <c r="Q28" s="189">
        <f>91.25*'Enteric fermentation'!F6*'Enteric fermentation'!Q21*10^-6</f>
        <v>1.8534411540030833E-2</v>
      </c>
      <c r="R28" s="189">
        <f>91.25*'Enteric fermentation'!G6*'Enteric fermentation'!R21*10^-6</f>
        <v>2.6327382803941989E-2</v>
      </c>
      <c r="S28" s="189">
        <f>91.25*'Enteric fermentation'!H6*'Enteric fermentation'!S21*10^-6</f>
        <v>8.9701963756298783E-2</v>
      </c>
      <c r="T28" s="189">
        <f>91.25*'Enteric fermentation'!I6*'Enteric fermentation'!T21*10^-6</f>
        <v>1.7899801218769298E-2</v>
      </c>
      <c r="U28" s="189">
        <f>91.25*'Enteric fermentation'!J6*'Enteric fermentation'!U21*10^-6</f>
        <v>2.250590118921561E-2</v>
      </c>
      <c r="V28" s="37" t="s">
        <v>87</v>
      </c>
      <c r="W28" s="46"/>
      <c r="X28" s="46"/>
      <c r="Y28" s="518"/>
    </row>
    <row r="29" spans="2:25" x14ac:dyDescent="0.45">
      <c r="B29" s="33"/>
      <c r="C29" s="37"/>
      <c r="D29" s="37"/>
      <c r="E29" s="37"/>
      <c r="F29" s="37"/>
      <c r="G29" s="37"/>
      <c r="H29" s="37"/>
      <c r="I29" s="37"/>
      <c r="J29" s="38"/>
      <c r="K29" s="37"/>
      <c r="M29" s="37"/>
      <c r="N29" s="37" t="s">
        <v>26</v>
      </c>
      <c r="O29" s="189">
        <f>91.25*'Enteric fermentation'!D7*'Enteric fermentation'!O22*10^-6</f>
        <v>2.984440311737085E-3</v>
      </c>
      <c r="P29" s="189">
        <f>91.25*'Enteric fermentation'!E7*'Enteric fermentation'!P22*10^-6</f>
        <v>4.7971868973825654E-4</v>
      </c>
      <c r="Q29" s="189">
        <f>91.25*'Enteric fermentation'!F7*'Enteric fermentation'!Q22*10^-6</f>
        <v>1.9280419975933244E-2</v>
      </c>
      <c r="R29" s="189">
        <f>91.25*'Enteric fermentation'!G7*'Enteric fermentation'!R22*10^-6</f>
        <v>2.109856992042965E-2</v>
      </c>
      <c r="S29" s="189">
        <f>91.25*'Enteric fermentation'!H7*'Enteric fermentation'!S22*10^-6</f>
        <v>6.1420182129395505E-2</v>
      </c>
      <c r="T29" s="189">
        <f>91.25*'Enteric fermentation'!I7*'Enteric fermentation'!T22*10^-6</f>
        <v>1.9834660993207073E-2</v>
      </c>
      <c r="U29" s="189">
        <f>91.25*'Enteric fermentation'!J7*'Enteric fermentation'!U22*10^-6</f>
        <v>3.5987410727853471E-3</v>
      </c>
      <c r="V29" s="37" t="s">
        <v>87</v>
      </c>
      <c r="W29" s="46"/>
      <c r="X29" s="46"/>
      <c r="Y29" s="518"/>
    </row>
    <row r="30" spans="2:25" x14ac:dyDescent="0.45">
      <c r="B30" s="33" t="s">
        <v>82</v>
      </c>
      <c r="C30" s="37" t="s">
        <v>50</v>
      </c>
      <c r="D30" s="37"/>
      <c r="E30" s="37"/>
      <c r="F30" s="37"/>
      <c r="G30" s="37"/>
      <c r="H30" s="468" t="str">
        <f>'Electicity, Gas &amp; Diesel'!L14</f>
        <v>Tas</v>
      </c>
      <c r="I30" s="37"/>
      <c r="J30" s="38"/>
      <c r="K30" s="37"/>
      <c r="M30" s="37"/>
      <c r="N30" s="37" t="s">
        <v>27</v>
      </c>
      <c r="O30" s="189">
        <f>91.25*'Enteric fermentation'!D8*'Enteric fermentation'!O23*10^-6</f>
        <v>2.5226112796834827E-3</v>
      </c>
      <c r="P30" s="189">
        <f>91.25*'Enteric fermentation'!E8*'Enteric fermentation'!P23*10^-6</f>
        <v>4.0815838358564712E-4</v>
      </c>
      <c r="Q30" s="189">
        <f>91.25*'Enteric fermentation'!F8*'Enteric fermentation'!Q23*10^-6</f>
        <v>2.0085221835005006E-2</v>
      </c>
      <c r="R30" s="189">
        <f>91.25*'Enteric fermentation'!G8*'Enteric fermentation'!R23*10^-6</f>
        <v>1.7599159384567964E-2</v>
      </c>
      <c r="S30" s="189">
        <f>91.25*'Enteric fermentation'!H8*'Enteric fermentation'!S23*10^-6</f>
        <v>5.0511344787345383E-2</v>
      </c>
      <c r="T30" s="189">
        <f>91.25*'Enteric fermentation'!I8*'Enteric fermentation'!T23*10^-6</f>
        <v>2.0085731486279932E-2</v>
      </c>
      <c r="U30" s="189">
        <f>91.25*'Enteric fermentation'!J8*'Enteric fermentation'!U23*10^-6</f>
        <v>7.4205569527496266E-3</v>
      </c>
      <c r="V30" s="37" t="s">
        <v>87</v>
      </c>
      <c r="W30" s="46"/>
      <c r="X30" s="46"/>
      <c r="Y30" s="518"/>
    </row>
    <row r="31" spans="2:25" x14ac:dyDescent="0.45">
      <c r="B31" s="33"/>
      <c r="C31" s="37" t="s">
        <v>24</v>
      </c>
      <c r="D31" s="37"/>
      <c r="E31" s="37"/>
      <c r="F31" s="37"/>
      <c r="G31" s="37"/>
      <c r="H31" s="43">
        <f>D49</f>
        <v>1.3</v>
      </c>
      <c r="I31" s="37"/>
      <c r="J31" s="38"/>
      <c r="K31" s="37"/>
      <c r="M31" s="37"/>
      <c r="N31" s="37"/>
      <c r="O31" s="37"/>
      <c r="P31" s="37"/>
      <c r="Q31" s="37"/>
      <c r="R31" s="37"/>
      <c r="S31" s="37"/>
      <c r="T31" s="37"/>
      <c r="U31" s="37"/>
      <c r="V31" s="37"/>
      <c r="W31" s="46"/>
      <c r="X31" s="46"/>
      <c r="Y31" s="518"/>
    </row>
    <row r="32" spans="2:25" x14ac:dyDescent="0.45">
      <c r="B32" s="33"/>
      <c r="C32" s="37" t="s">
        <v>25</v>
      </c>
      <c r="D32" s="37"/>
      <c r="E32" s="37"/>
      <c r="F32" s="37"/>
      <c r="G32" s="37"/>
      <c r="H32" s="43">
        <f>E49</f>
        <v>1.1000000000000001</v>
      </c>
      <c r="I32" s="37"/>
      <c r="J32" s="38"/>
      <c r="K32" s="37"/>
      <c r="M32" s="37"/>
      <c r="N32" s="37"/>
      <c r="O32" s="37"/>
      <c r="P32" s="37"/>
      <c r="Q32" s="37"/>
      <c r="R32" s="37"/>
      <c r="S32" s="37"/>
      <c r="T32" s="37"/>
      <c r="U32" s="37"/>
      <c r="V32" s="37"/>
      <c r="W32" s="46"/>
      <c r="X32" s="46"/>
      <c r="Y32" s="518"/>
    </row>
    <row r="33" spans="1:25" x14ac:dyDescent="0.45">
      <c r="B33" s="33"/>
      <c r="C33" s="37" t="s">
        <v>26</v>
      </c>
      <c r="D33" s="37"/>
      <c r="E33" s="37"/>
      <c r="F33" s="37"/>
      <c r="G33" s="37"/>
      <c r="H33" s="43">
        <f>F49</f>
        <v>0</v>
      </c>
      <c r="I33" s="37"/>
      <c r="J33" s="38"/>
      <c r="K33" s="37"/>
      <c r="M33" s="33" t="s">
        <v>63</v>
      </c>
      <c r="N33" s="45">
        <f>SUM(O27:U30)</f>
        <v>0.6306775539076982</v>
      </c>
      <c r="O33" s="37"/>
      <c r="P33" s="37"/>
      <c r="Q33" s="37"/>
      <c r="R33" s="37"/>
      <c r="S33" s="37"/>
      <c r="T33" s="37"/>
      <c r="U33" s="37"/>
      <c r="V33" s="37" t="s">
        <v>88</v>
      </c>
      <c r="W33" s="46"/>
      <c r="X33" s="46"/>
      <c r="Y33" s="518"/>
    </row>
    <row r="34" spans="1:25" x14ac:dyDescent="0.45">
      <c r="B34" s="39"/>
      <c r="C34" s="40" t="s">
        <v>27</v>
      </c>
      <c r="D34" s="40"/>
      <c r="E34" s="40"/>
      <c r="F34" s="40"/>
      <c r="G34" s="40"/>
      <c r="H34" s="181">
        <f>G49</f>
        <v>0</v>
      </c>
      <c r="I34" s="40"/>
      <c r="J34" s="41"/>
      <c r="K34" s="40"/>
      <c r="M34" s="33" t="s">
        <v>63</v>
      </c>
      <c r="N34" s="45">
        <f>N33*'GWP Factors'!C5</f>
        <v>15.766938847692455</v>
      </c>
      <c r="O34" s="37"/>
      <c r="P34" s="37"/>
      <c r="Q34" s="37"/>
      <c r="R34" s="37"/>
      <c r="S34" s="37"/>
      <c r="T34" s="37"/>
      <c r="U34" s="37"/>
      <c r="V34" s="37" t="s">
        <v>89</v>
      </c>
      <c r="W34" s="46"/>
      <c r="X34" s="46"/>
      <c r="Y34" s="518"/>
    </row>
    <row r="35" spans="1:25" x14ac:dyDescent="0.45">
      <c r="B35" s="33"/>
      <c r="C35" s="37"/>
      <c r="D35" s="37"/>
      <c r="E35" s="37"/>
      <c r="F35" s="37"/>
      <c r="G35" s="37"/>
      <c r="H35" s="43"/>
      <c r="I35" s="37"/>
      <c r="J35" s="38"/>
      <c r="K35" s="37"/>
      <c r="M35" s="39" t="s">
        <v>63</v>
      </c>
      <c r="N35" s="476">
        <f>N34*10^3</f>
        <v>15766.938847692454</v>
      </c>
      <c r="O35" s="40"/>
      <c r="P35" s="40"/>
      <c r="Q35" s="40"/>
      <c r="R35" s="40"/>
      <c r="S35" s="40"/>
      <c r="T35" s="40"/>
      <c r="U35" s="40"/>
      <c r="V35" s="39" t="s">
        <v>90</v>
      </c>
      <c r="W35" s="47"/>
      <c r="X35" s="47"/>
      <c r="Y35" s="521"/>
    </row>
    <row r="36" spans="1:25" x14ac:dyDescent="0.45">
      <c r="B36" s="469" t="s">
        <v>750</v>
      </c>
      <c r="C36" s="37"/>
      <c r="D36" s="37"/>
      <c r="E36" s="37"/>
      <c r="F36" s="37"/>
      <c r="G36" s="37"/>
      <c r="H36" s="37"/>
      <c r="I36" s="37"/>
      <c r="J36" s="38"/>
      <c r="K36" s="37"/>
    </row>
    <row r="37" spans="1:25" x14ac:dyDescent="0.45">
      <c r="B37" s="512" t="s">
        <v>50</v>
      </c>
      <c r="C37" s="513"/>
      <c r="D37" s="514" t="s">
        <v>24</v>
      </c>
      <c r="E37" s="514" t="s">
        <v>25</v>
      </c>
      <c r="F37" s="514" t="s">
        <v>26</v>
      </c>
      <c r="G37" s="514" t="s">
        <v>27</v>
      </c>
      <c r="H37" s="513"/>
      <c r="I37" s="513" t="s">
        <v>755</v>
      </c>
      <c r="J37" s="515"/>
      <c r="K37" s="516"/>
    </row>
    <row r="38" spans="1:25" x14ac:dyDescent="0.45">
      <c r="B38" s="470" t="s">
        <v>469</v>
      </c>
      <c r="C38" s="37"/>
      <c r="D38" s="37">
        <v>1.3</v>
      </c>
      <c r="E38" s="37">
        <v>1.1000000000000001</v>
      </c>
      <c r="F38" s="37">
        <v>0</v>
      </c>
      <c r="G38" s="37">
        <v>0</v>
      </c>
      <c r="H38" s="471"/>
      <c r="I38" s="37" t="s">
        <v>756</v>
      </c>
      <c r="J38" s="38"/>
      <c r="K38" s="472"/>
    </row>
    <row r="39" spans="1:25" x14ac:dyDescent="0.45">
      <c r="B39" s="470" t="s">
        <v>474</v>
      </c>
      <c r="C39" s="37"/>
      <c r="D39" s="37">
        <v>1.3</v>
      </c>
      <c r="E39" s="37">
        <v>1.1000000000000001</v>
      </c>
      <c r="F39" s="37">
        <v>0</v>
      </c>
      <c r="G39" s="37">
        <v>0</v>
      </c>
      <c r="H39" s="471"/>
      <c r="I39" s="37" t="s">
        <v>756</v>
      </c>
      <c r="J39" s="37"/>
      <c r="K39" s="472"/>
    </row>
    <row r="40" spans="1:25" x14ac:dyDescent="0.45">
      <c r="A40" s="14"/>
      <c r="B40" s="470" t="s">
        <v>390</v>
      </c>
      <c r="C40" s="37"/>
      <c r="D40" s="37">
        <v>1.3</v>
      </c>
      <c r="E40" s="37">
        <v>1.1000000000000001</v>
      </c>
      <c r="F40" s="37">
        <v>0</v>
      </c>
      <c r="G40" s="37">
        <v>0</v>
      </c>
      <c r="H40" s="471"/>
      <c r="I40" s="37" t="s">
        <v>756</v>
      </c>
      <c r="J40" s="37"/>
      <c r="K40" s="472"/>
    </row>
    <row r="41" spans="1:25" x14ac:dyDescent="0.45">
      <c r="B41" s="470" t="s">
        <v>177</v>
      </c>
      <c r="C41" s="37"/>
      <c r="D41" s="37">
        <v>0</v>
      </c>
      <c r="E41" s="37">
        <v>0</v>
      </c>
      <c r="F41" s="37">
        <v>1.3</v>
      </c>
      <c r="G41" s="37">
        <v>1.1000000000000001</v>
      </c>
      <c r="H41" s="471"/>
      <c r="I41" s="37" t="s">
        <v>756</v>
      </c>
      <c r="J41" s="37"/>
      <c r="K41" s="472"/>
    </row>
    <row r="42" spans="1:25" x14ac:dyDescent="0.45">
      <c r="B42" s="470" t="s">
        <v>53</v>
      </c>
      <c r="C42" s="37"/>
      <c r="D42" s="37">
        <v>0</v>
      </c>
      <c r="E42" s="37">
        <v>0</v>
      </c>
      <c r="F42" s="37">
        <v>1.3</v>
      </c>
      <c r="G42" s="37">
        <v>1.1000000000000001</v>
      </c>
      <c r="H42" s="471"/>
      <c r="I42" s="37" t="s">
        <v>756</v>
      </c>
      <c r="J42" s="37"/>
      <c r="K42" s="472"/>
    </row>
    <row r="43" spans="1:25" x14ac:dyDescent="0.45">
      <c r="B43" s="470" t="s">
        <v>391</v>
      </c>
      <c r="C43" s="37"/>
      <c r="D43" s="37">
        <v>0</v>
      </c>
      <c r="E43" s="37">
        <v>0</v>
      </c>
      <c r="F43" s="37">
        <v>1.3</v>
      </c>
      <c r="G43" s="37">
        <v>1.1000000000000001</v>
      </c>
      <c r="H43" s="37"/>
      <c r="I43" s="37" t="s">
        <v>756</v>
      </c>
      <c r="J43" s="37"/>
      <c r="K43" s="472"/>
    </row>
    <row r="44" spans="1:25" x14ac:dyDescent="0.45">
      <c r="B44" s="470" t="s">
        <v>470</v>
      </c>
      <c r="C44" s="37"/>
      <c r="D44" s="37">
        <v>1.3</v>
      </c>
      <c r="E44" s="37">
        <v>1.1000000000000001</v>
      </c>
      <c r="F44" s="37">
        <v>0</v>
      </c>
      <c r="G44" s="37">
        <v>0</v>
      </c>
      <c r="H44" s="37"/>
      <c r="I44" s="45" t="s">
        <v>757</v>
      </c>
      <c r="J44" s="37"/>
      <c r="K44" s="472"/>
    </row>
    <row r="45" spans="1:25" x14ac:dyDescent="0.45">
      <c r="A45" s="14"/>
      <c r="B45" s="470" t="s">
        <v>54</v>
      </c>
      <c r="C45" s="37"/>
      <c r="D45" s="37">
        <v>0</v>
      </c>
      <c r="E45" s="37">
        <v>1.3</v>
      </c>
      <c r="F45" s="37">
        <v>1.1000000000000001</v>
      </c>
      <c r="G45" s="37">
        <v>0</v>
      </c>
      <c r="H45" s="37"/>
      <c r="I45" s="45" t="s">
        <v>757</v>
      </c>
      <c r="J45" s="37"/>
      <c r="K45" s="472"/>
    </row>
    <row r="46" spans="1:25" x14ac:dyDescent="0.45">
      <c r="B46" s="470" t="s">
        <v>751</v>
      </c>
      <c r="C46" s="37"/>
      <c r="D46" s="37">
        <v>0</v>
      </c>
      <c r="E46" s="37">
        <v>1.3</v>
      </c>
      <c r="F46" s="37">
        <v>1.1000000000000001</v>
      </c>
      <c r="G46" s="37">
        <v>0</v>
      </c>
      <c r="H46" s="37"/>
      <c r="I46" s="45" t="s">
        <v>757</v>
      </c>
      <c r="J46" s="37"/>
      <c r="K46" s="472"/>
    </row>
    <row r="47" spans="1:25" x14ac:dyDescent="0.45">
      <c r="B47" s="470" t="s">
        <v>752</v>
      </c>
      <c r="C47" s="37"/>
      <c r="D47" s="37">
        <v>1.3</v>
      </c>
      <c r="E47" s="37">
        <v>1.1000000000000001</v>
      </c>
      <c r="F47" s="37">
        <v>0</v>
      </c>
      <c r="G47" s="37">
        <v>0</v>
      </c>
      <c r="H47" s="37"/>
      <c r="I47" s="45" t="s">
        <v>757</v>
      </c>
      <c r="J47" s="37"/>
      <c r="K47" s="472"/>
    </row>
    <row r="48" spans="1:25" x14ac:dyDescent="0.45">
      <c r="B48" s="470"/>
      <c r="C48" s="37"/>
      <c r="D48" s="37"/>
      <c r="E48" s="33"/>
      <c r="F48" s="33"/>
      <c r="G48" s="33"/>
      <c r="H48" s="37"/>
      <c r="I48" s="473"/>
      <c r="J48" s="37"/>
      <c r="K48" s="472"/>
    </row>
    <row r="49" spans="1:14" x14ac:dyDescent="0.45">
      <c r="A49" s="14"/>
      <c r="B49" s="474" t="str">
        <f>'Electicity, Gas &amp; Diesel'!L14</f>
        <v>Tas</v>
      </c>
      <c r="C49" s="40"/>
      <c r="D49" s="39">
        <f>INDEX(D38:D47,MATCH(B49,B38:B47,0))</f>
        <v>1.3</v>
      </c>
      <c r="E49" s="39">
        <f>INDEX(E38:E47,MATCH(B49,B38:B47,0))</f>
        <v>1.1000000000000001</v>
      </c>
      <c r="F49" s="39">
        <f>INDEX(F38:F47,MATCH(B49,B38:B47,0))</f>
        <v>0</v>
      </c>
      <c r="G49" s="39">
        <f>INDEX(G38:G47,MATCH(B49,B38:B47,0))</f>
        <v>0</v>
      </c>
      <c r="H49" s="40"/>
      <c r="I49" s="517" t="str">
        <f>INDEX(I38:I47,MATCH(B49,B38:B47,0))</f>
        <v>Temperate</v>
      </c>
      <c r="J49" s="40"/>
      <c r="K49" s="475"/>
    </row>
    <row r="50" spans="1:14" x14ac:dyDescent="0.45">
      <c r="B50" s="13"/>
      <c r="C50" s="13"/>
      <c r="D50" s="14"/>
      <c r="E50" s="14"/>
      <c r="F50" s="14"/>
      <c r="G50" s="13"/>
      <c r="H50" s="13"/>
      <c r="I50" s="25"/>
    </row>
    <row r="51" spans="1:14" x14ac:dyDescent="0.45">
      <c r="B51" s="13"/>
      <c r="C51" s="13"/>
      <c r="D51" s="14"/>
      <c r="E51" s="14"/>
      <c r="F51" s="14"/>
      <c r="G51" s="13"/>
      <c r="H51" s="13"/>
      <c r="I51" s="24"/>
    </row>
    <row r="52" spans="1:14" x14ac:dyDescent="0.45">
      <c r="B52" s="13"/>
      <c r="C52" s="13"/>
      <c r="D52" s="14"/>
      <c r="E52" s="14"/>
      <c r="F52" s="14"/>
      <c r="G52" s="13"/>
      <c r="H52" s="13"/>
      <c r="I52" s="24"/>
      <c r="M52" s="13"/>
      <c r="N52" s="13"/>
    </row>
    <row r="53" spans="1:14" x14ac:dyDescent="0.45">
      <c r="B53" s="13"/>
      <c r="C53" s="13"/>
      <c r="D53" s="14"/>
      <c r="E53" s="14"/>
      <c r="F53" s="14"/>
      <c r="G53" s="13"/>
      <c r="H53" s="13"/>
      <c r="I53" s="24"/>
      <c r="M53" s="13"/>
      <c r="N53" s="13"/>
    </row>
    <row r="54" spans="1:14" x14ac:dyDescent="0.45">
      <c r="A54" s="22"/>
      <c r="B54" s="13"/>
      <c r="C54" s="13"/>
      <c r="D54" s="14"/>
      <c r="E54" s="14"/>
      <c r="F54" s="14"/>
      <c r="G54" s="13"/>
      <c r="H54" s="13"/>
      <c r="I54" s="24"/>
      <c r="M54" s="13"/>
      <c r="N54" s="13"/>
    </row>
    <row r="55" spans="1:14" x14ac:dyDescent="0.45">
      <c r="B55" s="13"/>
      <c r="C55" s="13"/>
      <c r="D55" s="14"/>
      <c r="E55" s="14"/>
      <c r="F55" s="14"/>
      <c r="G55" s="13"/>
      <c r="H55" s="13"/>
    </row>
    <row r="56" spans="1:14" x14ac:dyDescent="0.45">
      <c r="B56" s="13"/>
      <c r="C56" s="13"/>
      <c r="D56" s="13"/>
      <c r="E56" s="14"/>
      <c r="F56" s="14"/>
      <c r="G56" s="13"/>
      <c r="H56" s="13"/>
    </row>
    <row r="57" spans="1:14" x14ac:dyDescent="0.45">
      <c r="B57" s="13"/>
      <c r="C57" s="13"/>
      <c r="D57" s="13"/>
      <c r="E57" s="14"/>
      <c r="F57" s="14"/>
      <c r="G57" s="13"/>
      <c r="H57" s="13"/>
    </row>
    <row r="58" spans="1:14" x14ac:dyDescent="0.45">
      <c r="B58" s="13"/>
      <c r="C58" s="13"/>
      <c r="D58" s="13"/>
      <c r="E58" s="14"/>
      <c r="F58" s="14"/>
      <c r="G58" s="13"/>
      <c r="H58" s="13"/>
    </row>
    <row r="59" spans="1:14" x14ac:dyDescent="0.45">
      <c r="B59" s="13"/>
      <c r="C59" s="13"/>
      <c r="D59" s="14"/>
      <c r="E59" s="14"/>
      <c r="F59" s="14"/>
      <c r="G59" s="13"/>
      <c r="H59" s="13"/>
    </row>
    <row r="60" spans="1:14" x14ac:dyDescent="0.45">
      <c r="B60" s="13"/>
      <c r="C60" s="13"/>
      <c r="D60" s="13"/>
      <c r="E60" s="14"/>
      <c r="F60" s="14"/>
      <c r="G60" s="13"/>
      <c r="H60" s="13"/>
      <c r="I60" s="26"/>
      <c r="J60" s="27"/>
    </row>
    <row r="61" spans="1:14" x14ac:dyDescent="0.45">
      <c r="B61" s="13"/>
      <c r="C61" s="13"/>
      <c r="D61" s="13"/>
      <c r="E61" s="14"/>
      <c r="F61" s="14"/>
      <c r="G61" s="13"/>
      <c r="H61" s="13"/>
      <c r="I61" s="26"/>
      <c r="J61" s="27"/>
      <c r="K61" s="17"/>
    </row>
    <row r="62" spans="1:14" x14ac:dyDescent="0.45">
      <c r="B62" s="13"/>
      <c r="C62" s="13"/>
      <c r="D62" s="13"/>
      <c r="E62" s="14"/>
      <c r="F62" s="14"/>
      <c r="G62" s="13"/>
      <c r="H62" s="13"/>
      <c r="J62" s="27"/>
    </row>
    <row r="63" spans="1:14" x14ac:dyDescent="0.45">
      <c r="B63" s="13"/>
      <c r="C63" s="13"/>
      <c r="D63" s="14"/>
      <c r="E63" s="14"/>
      <c r="F63" s="14"/>
      <c r="G63" s="13"/>
      <c r="H63" s="13"/>
    </row>
    <row r="64" spans="1:14" x14ac:dyDescent="0.45">
      <c r="B64" s="13"/>
      <c r="C64" s="13"/>
      <c r="D64" s="14"/>
      <c r="E64" s="14"/>
      <c r="F64" s="14"/>
      <c r="G64" s="13"/>
      <c r="H64" s="13"/>
    </row>
    <row r="65" spans="2:8" x14ac:dyDescent="0.45">
      <c r="B65" s="13"/>
      <c r="C65" s="13"/>
      <c r="D65" s="14"/>
      <c r="E65" s="14"/>
      <c r="F65" s="14"/>
      <c r="G65" s="13"/>
      <c r="H65" s="13"/>
    </row>
    <row r="66" spans="2:8" x14ac:dyDescent="0.45">
      <c r="B66" s="13"/>
      <c r="C66" s="13"/>
      <c r="D66" s="14"/>
      <c r="E66" s="14"/>
      <c r="F66" s="14"/>
      <c r="G66" s="13"/>
      <c r="H66" s="13"/>
    </row>
    <row r="67" spans="2:8" x14ac:dyDescent="0.45">
      <c r="B67" s="13"/>
      <c r="C67" s="13"/>
      <c r="D67" s="14"/>
      <c r="E67" s="14"/>
      <c r="F67" s="14"/>
      <c r="G67" s="13"/>
      <c r="H67" s="13"/>
    </row>
    <row r="68" spans="2:8" x14ac:dyDescent="0.45">
      <c r="B68" s="13"/>
      <c r="C68" s="13"/>
      <c r="D68" s="14"/>
      <c r="E68" s="14"/>
      <c r="F68" s="14"/>
      <c r="G68" s="13"/>
      <c r="H68" s="13"/>
    </row>
    <row r="69" spans="2:8" x14ac:dyDescent="0.45">
      <c r="B69" s="13"/>
      <c r="C69" s="13"/>
      <c r="D69" s="14"/>
      <c r="E69" s="14"/>
      <c r="F69" s="14"/>
      <c r="G69" s="13"/>
      <c r="H69" s="13"/>
    </row>
    <row r="70" spans="2:8" x14ac:dyDescent="0.45">
      <c r="B70" s="13"/>
      <c r="C70" s="13"/>
      <c r="D70" s="14"/>
      <c r="E70" s="14"/>
      <c r="F70" s="14"/>
      <c r="G70" s="13"/>
      <c r="H70" s="13"/>
    </row>
    <row r="71" spans="2:8" x14ac:dyDescent="0.45">
      <c r="B71" s="13"/>
      <c r="C71" s="13"/>
      <c r="D71" s="14"/>
      <c r="E71" s="14"/>
      <c r="F71" s="14"/>
      <c r="G71" s="13"/>
      <c r="H71" s="13"/>
    </row>
    <row r="72" spans="2:8" x14ac:dyDescent="0.45">
      <c r="B72" s="13"/>
      <c r="C72" s="13"/>
      <c r="D72" s="14"/>
      <c r="E72" s="14"/>
      <c r="F72" s="14"/>
      <c r="G72" s="13"/>
      <c r="H72" s="13"/>
    </row>
    <row r="73" spans="2:8" x14ac:dyDescent="0.45">
      <c r="B73" s="13"/>
      <c r="C73" s="13"/>
      <c r="D73" s="14"/>
      <c r="E73" s="14"/>
      <c r="F73" s="14"/>
      <c r="G73" s="13"/>
      <c r="H73" s="13"/>
    </row>
    <row r="74" spans="2:8" x14ac:dyDescent="0.45">
      <c r="B74" s="13"/>
      <c r="C74" s="13"/>
      <c r="D74" s="14"/>
      <c r="E74" s="14"/>
      <c r="F74" s="14"/>
      <c r="G74" s="13"/>
      <c r="H74" s="13"/>
    </row>
    <row r="75" spans="2:8" x14ac:dyDescent="0.45">
      <c r="B75" s="13"/>
      <c r="C75" s="13"/>
      <c r="D75" s="14"/>
      <c r="E75" s="14"/>
      <c r="F75" s="14"/>
      <c r="G75" s="13"/>
      <c r="H75" s="13"/>
    </row>
    <row r="76" spans="2:8" x14ac:dyDescent="0.45">
      <c r="B76" s="13"/>
      <c r="C76" s="13"/>
      <c r="D76" s="14"/>
      <c r="E76" s="14"/>
      <c r="F76" s="14"/>
      <c r="G76" s="13"/>
      <c r="H76" s="13"/>
    </row>
    <row r="77" spans="2:8" x14ac:dyDescent="0.45">
      <c r="B77" s="13"/>
      <c r="C77" s="13"/>
      <c r="D77" s="14"/>
      <c r="E77" s="14"/>
      <c r="F77" s="14"/>
      <c r="G77" s="13"/>
      <c r="H77" s="13"/>
    </row>
    <row r="78" spans="2:8" x14ac:dyDescent="0.45">
      <c r="B78" s="13"/>
      <c r="C78" s="13"/>
      <c r="D78" s="14"/>
      <c r="E78" s="14"/>
      <c r="F78" s="14"/>
      <c r="G78" s="13"/>
      <c r="H78" s="13"/>
    </row>
    <row r="99" spans="2:10" x14ac:dyDescent="0.45">
      <c r="D99" s="28"/>
    </row>
    <row r="105" spans="2:10" x14ac:dyDescent="0.45">
      <c r="B105" s="22"/>
    </row>
    <row r="112" spans="2:10" x14ac:dyDescent="0.45">
      <c r="I112" s="29"/>
      <c r="J112" s="29"/>
    </row>
    <row r="116" spans="3:11" x14ac:dyDescent="0.45">
      <c r="E116" s="29"/>
      <c r="G116" s="29"/>
    </row>
    <row r="117" spans="3:11" x14ac:dyDescent="0.45">
      <c r="I117" s="22"/>
      <c r="J117" s="22"/>
      <c r="K117" s="22"/>
    </row>
    <row r="119" spans="3:11" x14ac:dyDescent="0.45">
      <c r="K119" s="23"/>
    </row>
    <row r="121" spans="3:11" x14ac:dyDescent="0.45">
      <c r="C121" s="22"/>
      <c r="D121" s="22"/>
      <c r="E121" s="22"/>
      <c r="F121" s="22"/>
      <c r="G121" s="22"/>
      <c r="H121" s="22"/>
    </row>
    <row r="122" spans="3:11" x14ac:dyDescent="0.45">
      <c r="C122" s="22"/>
    </row>
  </sheetData>
  <sheetProtection sheet="1" objects="1" scenarios="1"/>
  <phoneticPr fontId="12" type="noConversion"/>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N48"/>
  <sheetViews>
    <sheetView showGridLines="0" workbookViewId="0"/>
  </sheetViews>
  <sheetFormatPr defaultColWidth="8.86328125" defaultRowHeight="15.4" x14ac:dyDescent="0.45"/>
  <cols>
    <col min="1" max="1" width="2.73046875" style="3" customWidth="1"/>
    <col min="2" max="2" width="39.86328125" style="3" customWidth="1"/>
    <col min="3" max="3" width="12.1328125" style="3" customWidth="1"/>
    <col min="4" max="4" width="13.73046875" style="3" bestFit="1" customWidth="1"/>
    <col min="5" max="5" width="11.265625" style="3" customWidth="1"/>
    <col min="6" max="6" width="11.3984375" style="3" customWidth="1"/>
    <col min="7" max="7" width="12" style="3" customWidth="1"/>
    <col min="8" max="8" width="11.86328125" style="3" customWidth="1"/>
    <col min="9" max="9" width="11.3984375" style="3" customWidth="1"/>
    <col min="10" max="10" width="12" style="3" customWidth="1"/>
    <col min="11" max="11" width="20" style="30" customWidth="1"/>
    <col min="12" max="12" width="22.265625" style="35" customWidth="1"/>
    <col min="13" max="13" width="21.265625" style="22" customWidth="1"/>
    <col min="14" max="14" width="17.265625" style="3" customWidth="1"/>
    <col min="15" max="16384" width="8.86328125" style="3"/>
  </cols>
  <sheetData>
    <row r="1" spans="2:14" ht="27" customHeight="1" x14ac:dyDescent="0.5">
      <c r="B1" s="21" t="s">
        <v>64</v>
      </c>
      <c r="C1" s="21"/>
      <c r="D1" s="36"/>
    </row>
    <row r="2" spans="2:14" ht="12.6" customHeight="1" x14ac:dyDescent="0.45">
      <c r="B2" s="22"/>
      <c r="C2" s="22"/>
    </row>
    <row r="3" spans="2:14" x14ac:dyDescent="0.45">
      <c r="B3" s="308" t="s">
        <v>56</v>
      </c>
      <c r="C3" s="50" t="s">
        <v>72</v>
      </c>
      <c r="D3" s="50" t="str">
        <f>'Data input'!D9</f>
        <v>Bulls &gt;1</v>
      </c>
      <c r="E3" s="50" t="str">
        <f>'Data input'!E9</f>
        <v>Bulls&lt;1</v>
      </c>
      <c r="F3" s="50" t="str">
        <f>'Data input'!F9</f>
        <v>Steers&lt;1</v>
      </c>
      <c r="G3" s="50" t="str">
        <f>'Data input'!G9</f>
        <v>Cows 1 to 2</v>
      </c>
      <c r="H3" s="50" t="str">
        <f>'Data input'!H9</f>
        <v>Cows &gt;2</v>
      </c>
      <c r="I3" s="50" t="str">
        <f>'Data input'!I9</f>
        <v>Cows&lt;1</v>
      </c>
      <c r="J3" s="50" t="str">
        <f>'Data input'!J9</f>
        <v>Steers&gt;1</v>
      </c>
      <c r="K3" s="309" t="str">
        <f>'Data input'!K9</f>
        <v>Units</v>
      </c>
      <c r="L3" s="48" t="s">
        <v>185</v>
      </c>
      <c r="M3" s="195" t="s">
        <v>200</v>
      </c>
      <c r="N3" s="195" t="s">
        <v>203</v>
      </c>
    </row>
    <row r="4" spans="2:14" x14ac:dyDescent="0.45">
      <c r="B4" s="310"/>
      <c r="C4" s="51"/>
      <c r="D4" s="51"/>
      <c r="E4" s="51"/>
      <c r="F4" s="51"/>
      <c r="G4" s="51"/>
      <c r="H4" s="51"/>
      <c r="I4" s="51"/>
      <c r="J4" s="51"/>
      <c r="K4" s="311"/>
      <c r="L4" s="49"/>
      <c r="M4" s="195"/>
      <c r="N4" s="197"/>
    </row>
    <row r="5" spans="2:14" x14ac:dyDescent="0.45">
      <c r="B5" s="310" t="s">
        <v>187</v>
      </c>
      <c r="C5" s="52" t="s">
        <v>24</v>
      </c>
      <c r="D5" s="52">
        <f>'Data input'!D10</f>
        <v>169</v>
      </c>
      <c r="E5" s="52">
        <f>'Data input'!E10</f>
        <v>51</v>
      </c>
      <c r="F5" s="52">
        <f>'Data input'!F10</f>
        <v>2213</v>
      </c>
      <c r="G5" s="52">
        <f>'Data input'!G10</f>
        <v>2018</v>
      </c>
      <c r="H5" s="52">
        <f>'Data input'!H10</f>
        <v>5612</v>
      </c>
      <c r="I5" s="52">
        <f>'Data input'!I10</f>
        <v>2322</v>
      </c>
      <c r="J5" s="52">
        <f>'Data input'!J10</f>
        <v>2353</v>
      </c>
      <c r="K5" s="312" t="str">
        <f>'Data input'!K10</f>
        <v>head</v>
      </c>
      <c r="L5" s="49"/>
      <c r="M5" s="194"/>
      <c r="N5" s="196"/>
    </row>
    <row r="6" spans="2:14" x14ac:dyDescent="0.45">
      <c r="B6" s="310"/>
      <c r="C6" s="52" t="s">
        <v>25</v>
      </c>
      <c r="D6" s="52">
        <f>'Data input'!D11</f>
        <v>158</v>
      </c>
      <c r="E6" s="52">
        <f>'Data input'!E11</f>
        <v>51</v>
      </c>
      <c r="F6" s="52">
        <f>'Data input'!F11</f>
        <v>2252</v>
      </c>
      <c r="G6" s="52">
        <f>'Data input'!G11</f>
        <v>2017</v>
      </c>
      <c r="H6" s="52">
        <f>'Data input'!H11</f>
        <v>4865</v>
      </c>
      <c r="I6" s="52">
        <f>'Data input'!I11</f>
        <v>2297</v>
      </c>
      <c r="J6" s="52">
        <f>'Data input'!J11</f>
        <v>1811</v>
      </c>
      <c r="K6" s="312" t="str">
        <f>'Data input'!K11</f>
        <v>head</v>
      </c>
      <c r="L6" s="49"/>
      <c r="M6" s="194"/>
      <c r="N6" s="196"/>
    </row>
    <row r="7" spans="2:14" x14ac:dyDescent="0.45">
      <c r="B7" s="310"/>
      <c r="C7" s="52" t="s">
        <v>26</v>
      </c>
      <c r="D7" s="52">
        <f>'Data input'!D12</f>
        <v>148</v>
      </c>
      <c r="E7" s="52">
        <f>'Data input'!E12</f>
        <v>51</v>
      </c>
      <c r="F7" s="52">
        <f>'Data input'!F12</f>
        <v>2112</v>
      </c>
      <c r="G7" s="52">
        <f>'Data input'!G12</f>
        <v>1763</v>
      </c>
      <c r="H7" s="52">
        <f>'Data input'!H12</f>
        <v>4457</v>
      </c>
      <c r="I7" s="52">
        <f>'Data input'!I12</f>
        <v>2246</v>
      </c>
      <c r="J7" s="52">
        <f>'Data input'!J12</f>
        <v>285</v>
      </c>
      <c r="K7" s="312" t="str">
        <f>'Data input'!K12</f>
        <v>head</v>
      </c>
      <c r="L7" s="49"/>
      <c r="M7" s="194"/>
      <c r="N7" s="196"/>
    </row>
    <row r="8" spans="2:14" x14ac:dyDescent="0.45">
      <c r="B8" s="310"/>
      <c r="C8" s="52" t="s">
        <v>27</v>
      </c>
      <c r="D8" s="52">
        <f>'Data input'!D13</f>
        <v>148</v>
      </c>
      <c r="E8" s="52">
        <f>'Data input'!E13</f>
        <v>51</v>
      </c>
      <c r="F8" s="52">
        <f>'Data input'!F13</f>
        <v>2102</v>
      </c>
      <c r="G8" s="52">
        <f>'Data input'!G13</f>
        <v>1374</v>
      </c>
      <c r="H8" s="52">
        <f>'Data input'!H13</f>
        <v>4003</v>
      </c>
      <c r="I8" s="52">
        <f>'Data input'!I13</f>
        <v>2235</v>
      </c>
      <c r="J8" s="52">
        <f>'Data input'!J13</f>
        <v>542</v>
      </c>
      <c r="K8" s="312" t="str">
        <f>'Data input'!K13</f>
        <v>head</v>
      </c>
      <c r="L8" s="49"/>
      <c r="M8" s="194"/>
      <c r="N8" s="196"/>
    </row>
    <row r="9" spans="2:14" x14ac:dyDescent="0.45">
      <c r="B9" s="310"/>
      <c r="C9" s="51"/>
      <c r="D9" s="52"/>
      <c r="E9" s="52"/>
      <c r="F9" s="52"/>
      <c r="G9" s="52"/>
      <c r="H9" s="52"/>
      <c r="I9" s="52"/>
      <c r="J9" s="52"/>
      <c r="K9" s="312"/>
      <c r="L9" s="49"/>
      <c r="M9" s="194"/>
      <c r="N9" s="196"/>
    </row>
    <row r="10" spans="2:14" x14ac:dyDescent="0.45">
      <c r="B10" s="310" t="s">
        <v>181</v>
      </c>
      <c r="C10" s="52" t="s">
        <v>24</v>
      </c>
      <c r="D10" s="52">
        <f>'Data input'!D34</f>
        <v>48</v>
      </c>
      <c r="E10" s="52">
        <f>'Data input'!E34</f>
        <v>48</v>
      </c>
      <c r="F10" s="52">
        <f>'Data input'!F34</f>
        <v>48</v>
      </c>
      <c r="G10" s="52">
        <f>'Data input'!G34</f>
        <v>48</v>
      </c>
      <c r="H10" s="52">
        <f>'Data input'!H34</f>
        <v>48</v>
      </c>
      <c r="I10" s="52">
        <f>'Data input'!I34</f>
        <v>48</v>
      </c>
      <c r="J10" s="52">
        <f>'Data input'!J34</f>
        <v>48</v>
      </c>
      <c r="K10" s="312" t="str">
        <f>'Data input'!K34</f>
        <v>%</v>
      </c>
      <c r="L10" s="49"/>
      <c r="M10" s="194"/>
      <c r="N10" s="196"/>
    </row>
    <row r="11" spans="2:14" x14ac:dyDescent="0.45">
      <c r="B11" s="313"/>
      <c r="C11" s="52" t="s">
        <v>25</v>
      </c>
      <c r="D11" s="52">
        <f>'Data input'!D35</f>
        <v>56</v>
      </c>
      <c r="E11" s="52">
        <f>'Data input'!E35</f>
        <v>56</v>
      </c>
      <c r="F11" s="52">
        <f>'Data input'!F35</f>
        <v>56</v>
      </c>
      <c r="G11" s="52">
        <f>'Data input'!G35</f>
        <v>56</v>
      </c>
      <c r="H11" s="52">
        <f>'Data input'!H35</f>
        <v>56</v>
      </c>
      <c r="I11" s="52">
        <f>'Data input'!I35</f>
        <v>56</v>
      </c>
      <c r="J11" s="52">
        <f>'Data input'!J35</f>
        <v>56</v>
      </c>
      <c r="K11" s="312" t="str">
        <f>'Data input'!K35</f>
        <v>%</v>
      </c>
      <c r="L11" s="49"/>
      <c r="M11" s="194"/>
      <c r="N11" s="196"/>
    </row>
    <row r="12" spans="2:14" x14ac:dyDescent="0.45">
      <c r="B12" s="313"/>
      <c r="C12" s="52" t="s">
        <v>26</v>
      </c>
      <c r="D12" s="52">
        <f>'Data input'!D36</f>
        <v>53</v>
      </c>
      <c r="E12" s="52">
        <f>'Data input'!E36</f>
        <v>53</v>
      </c>
      <c r="F12" s="52">
        <f>'Data input'!F36</f>
        <v>53</v>
      </c>
      <c r="G12" s="52">
        <f>'Data input'!G36</f>
        <v>53</v>
      </c>
      <c r="H12" s="52">
        <f>'Data input'!H36</f>
        <v>53</v>
      </c>
      <c r="I12" s="52">
        <f>'Data input'!I36</f>
        <v>53</v>
      </c>
      <c r="J12" s="52">
        <f>'Data input'!J36</f>
        <v>53</v>
      </c>
      <c r="K12" s="312" t="str">
        <f>'Data input'!K36</f>
        <v>%</v>
      </c>
      <c r="L12" s="49"/>
      <c r="M12" s="194"/>
      <c r="N12" s="196"/>
    </row>
    <row r="13" spans="2:14" x14ac:dyDescent="0.45">
      <c r="B13" s="313"/>
      <c r="C13" s="52" t="s">
        <v>27</v>
      </c>
      <c r="D13" s="52">
        <f>'Data input'!D37</f>
        <v>51</v>
      </c>
      <c r="E13" s="52">
        <f>'Data input'!E37</f>
        <v>51</v>
      </c>
      <c r="F13" s="52">
        <f>'Data input'!F37</f>
        <v>51</v>
      </c>
      <c r="G13" s="52">
        <f>'Data input'!G37</f>
        <v>51</v>
      </c>
      <c r="H13" s="52">
        <f>'Data input'!H37</f>
        <v>51</v>
      </c>
      <c r="I13" s="52">
        <f>'Data input'!I37</f>
        <v>51</v>
      </c>
      <c r="J13" s="52">
        <f>'Data input'!J37</f>
        <v>51</v>
      </c>
      <c r="K13" s="312" t="str">
        <f>'Data input'!K37</f>
        <v>%</v>
      </c>
      <c r="L13" s="49"/>
      <c r="M13" s="194"/>
      <c r="N13" s="196"/>
    </row>
    <row r="14" spans="2:14" x14ac:dyDescent="0.45">
      <c r="B14" s="310"/>
      <c r="C14" s="51"/>
      <c r="D14" s="52"/>
      <c r="E14" s="52"/>
      <c r="F14" s="52"/>
      <c r="G14" s="52"/>
      <c r="H14" s="52"/>
      <c r="I14" s="52"/>
      <c r="J14" s="52"/>
      <c r="K14" s="312"/>
      <c r="L14" s="49"/>
      <c r="M14" s="194"/>
      <c r="N14" s="196"/>
    </row>
    <row r="15" spans="2:14" x14ac:dyDescent="0.45">
      <c r="B15" s="310" t="s">
        <v>29</v>
      </c>
      <c r="C15" s="52" t="s">
        <v>24</v>
      </c>
      <c r="D15" s="295">
        <f>'Enteric fermentation'!O6</f>
        <v>10.539762249999999</v>
      </c>
      <c r="E15" s="295">
        <f>'Enteric fermentation'!P6</f>
        <v>3.4861184232249993</v>
      </c>
      <c r="F15" s="295">
        <f>'Enteric fermentation'!Q6</f>
        <v>3.5628072515999993</v>
      </c>
      <c r="G15" s="295">
        <f>'Enteric fermentation'!R6</f>
        <v>6.9063839999999983</v>
      </c>
      <c r="H15" s="295">
        <f>'Enteric fermentation'!S6</f>
        <v>10.868685618328</v>
      </c>
      <c r="I15" s="295">
        <f>'Enteric fermentation'!T6</f>
        <v>3.4861184232249993</v>
      </c>
      <c r="J15" s="295">
        <f>'Enteric fermentation'!U6</f>
        <v>6.5913373695999997</v>
      </c>
      <c r="K15" s="312" t="s">
        <v>75</v>
      </c>
      <c r="L15" s="49"/>
      <c r="M15" s="194"/>
      <c r="N15" s="196"/>
    </row>
    <row r="16" spans="2:14" x14ac:dyDescent="0.45">
      <c r="B16" s="310"/>
      <c r="C16" s="52" t="s">
        <v>25</v>
      </c>
      <c r="D16" s="295">
        <f>'Enteric fermentation'!O7</f>
        <v>10.894950562499996</v>
      </c>
      <c r="E16" s="295">
        <f>'Enteric fermentation'!P7</f>
        <v>4.2675296400000011</v>
      </c>
      <c r="F16" s="295">
        <f>'Enteric fermentation'!Q7</f>
        <v>4.3571970121000003</v>
      </c>
      <c r="G16" s="295">
        <f>'Enteric fermentation'!R7</f>
        <v>6.9103265624999981</v>
      </c>
      <c r="H16" s="295">
        <f>'Enteric fermentation'!S7</f>
        <v>9.7614849163859976</v>
      </c>
      <c r="I16" s="295">
        <f>'Enteric fermentation'!T7</f>
        <v>4.1255703225000007</v>
      </c>
      <c r="J16" s="295">
        <f>'Enteric fermentation'!U7</f>
        <v>6.5792249999999974</v>
      </c>
      <c r="K16" s="312" t="s">
        <v>75</v>
      </c>
      <c r="L16" s="49"/>
      <c r="M16" s="194"/>
      <c r="N16" s="196"/>
    </row>
    <row r="17" spans="2:14" x14ac:dyDescent="0.45">
      <c r="B17" s="310"/>
      <c r="C17" s="52" t="s">
        <v>26</v>
      </c>
      <c r="D17" s="295">
        <f>'Enteric fermentation'!O8</f>
        <v>10.675739390624999</v>
      </c>
      <c r="E17" s="295">
        <f>'Enteric fermentation'!P8</f>
        <v>4.9798154024999999</v>
      </c>
      <c r="F17" s="295">
        <f>'Enteric fermentation'!Q8</f>
        <v>4.8330285122250007</v>
      </c>
      <c r="G17" s="295">
        <f>'Enteric fermentation'!R8</f>
        <v>6.3357420681000001</v>
      </c>
      <c r="H17" s="295">
        <f>'Enteric fermentation'!S8</f>
        <v>7.2956711025000001</v>
      </c>
      <c r="I17" s="295">
        <f>'Enteric fermentation'!T8</f>
        <v>4.6753250624999989</v>
      </c>
      <c r="J17" s="295">
        <f>'Enteric fermentation'!U8</f>
        <v>6.6850170916000025</v>
      </c>
      <c r="K17" s="312" t="s">
        <v>75</v>
      </c>
      <c r="L17" s="49"/>
      <c r="M17" s="194"/>
      <c r="N17" s="196"/>
    </row>
    <row r="18" spans="2:14" x14ac:dyDescent="0.45">
      <c r="B18" s="314"/>
      <c r="C18" s="54" t="s">
        <v>27</v>
      </c>
      <c r="D18" s="315">
        <f>'Enteric fermentation'!O9</f>
        <v>9.0237156024999976</v>
      </c>
      <c r="E18" s="315">
        <f>'Enteric fermentation'!P9</f>
        <v>4.2369693920999989</v>
      </c>
      <c r="F18" s="315">
        <f>'Enteric fermentation'!Q9</f>
        <v>5.0587207056000016</v>
      </c>
      <c r="G18" s="315">
        <f>'Enteric fermentation'!R9</f>
        <v>6.7811284835999981</v>
      </c>
      <c r="H18" s="315">
        <f>'Enteric fermentation'!S9</f>
        <v>6.6803639296000012</v>
      </c>
      <c r="I18" s="315">
        <f>'Enteric fermentation'!T9</f>
        <v>4.7578079375999991</v>
      </c>
      <c r="J18" s="315">
        <f>'Enteric fermentation'!U9</f>
        <v>7.2482639075999984</v>
      </c>
      <c r="K18" s="316" t="s">
        <v>75</v>
      </c>
      <c r="L18" s="49"/>
      <c r="M18" s="194"/>
      <c r="N18" s="196"/>
    </row>
    <row r="19" spans="2:14" x14ac:dyDescent="0.45">
      <c r="B19" s="51"/>
      <c r="C19" s="51"/>
      <c r="D19" s="52"/>
      <c r="E19" s="52"/>
      <c r="F19" s="52"/>
      <c r="G19" s="52"/>
      <c r="H19" s="52"/>
      <c r="I19" s="52"/>
      <c r="J19" s="52"/>
      <c r="K19" s="53"/>
      <c r="L19" s="49"/>
      <c r="M19" s="194"/>
      <c r="N19" s="196"/>
    </row>
    <row r="20" spans="2:14" x14ac:dyDescent="0.45">
      <c r="B20" s="51" t="s">
        <v>360</v>
      </c>
      <c r="C20" s="51"/>
      <c r="D20" s="52"/>
      <c r="E20" s="52"/>
      <c r="F20" s="52"/>
      <c r="G20" s="52"/>
      <c r="H20" s="52"/>
      <c r="I20" s="52"/>
      <c r="J20" s="52"/>
      <c r="K20" s="53"/>
      <c r="L20" s="49"/>
      <c r="M20" s="194"/>
      <c r="N20" s="196"/>
    </row>
    <row r="21" spans="2:14" x14ac:dyDescent="0.45">
      <c r="B21" s="52" t="s">
        <v>361</v>
      </c>
      <c r="C21" s="52">
        <v>1</v>
      </c>
      <c r="D21" s="52" t="s">
        <v>363</v>
      </c>
      <c r="E21" s="52"/>
      <c r="F21" s="52"/>
      <c r="G21" s="52"/>
      <c r="H21" s="52"/>
      <c r="I21" s="52"/>
      <c r="J21" s="52"/>
      <c r="K21" s="53"/>
      <c r="L21" s="49"/>
      <c r="M21" s="194"/>
      <c r="N21" s="196"/>
    </row>
    <row r="22" spans="2:14" x14ac:dyDescent="0.45">
      <c r="B22" s="52" t="s">
        <v>362</v>
      </c>
      <c r="C22" s="52">
        <v>2</v>
      </c>
      <c r="D22" s="52" t="s">
        <v>364</v>
      </c>
      <c r="E22" s="52"/>
      <c r="F22" s="52"/>
      <c r="G22" s="52"/>
      <c r="H22" s="52"/>
      <c r="I22" s="52"/>
      <c r="J22" s="52"/>
      <c r="K22" s="53"/>
      <c r="L22" s="49"/>
      <c r="M22" s="194"/>
      <c r="N22" s="196"/>
    </row>
    <row r="23" spans="2:14" x14ac:dyDescent="0.45">
      <c r="B23" s="52" t="s">
        <v>365</v>
      </c>
      <c r="C23" s="52">
        <f>'Data input'!E5</f>
        <v>2</v>
      </c>
      <c r="D23" s="52"/>
      <c r="E23" s="52"/>
      <c r="F23" s="52"/>
      <c r="G23" s="52"/>
      <c r="H23" s="52"/>
      <c r="I23" s="52"/>
      <c r="J23" s="52"/>
      <c r="K23" s="53"/>
      <c r="L23" s="49"/>
      <c r="M23" s="194"/>
      <c r="N23" s="196"/>
    </row>
    <row r="24" spans="2:14" x14ac:dyDescent="0.45">
      <c r="B24" s="52"/>
      <c r="C24" s="52"/>
      <c r="D24" s="52"/>
      <c r="E24" s="52"/>
      <c r="F24" s="52"/>
      <c r="G24" s="52"/>
      <c r="H24" s="52"/>
      <c r="I24" s="52"/>
      <c r="J24" s="52"/>
      <c r="K24" s="53"/>
      <c r="L24" s="49"/>
      <c r="M24" s="194"/>
      <c r="N24" s="196"/>
    </row>
    <row r="25" spans="2:14" x14ac:dyDescent="0.45">
      <c r="B25" s="51" t="s">
        <v>208</v>
      </c>
      <c r="C25" s="52"/>
      <c r="D25" s="52"/>
      <c r="E25" s="52"/>
      <c r="F25" s="52"/>
      <c r="G25" s="52"/>
      <c r="H25" s="52"/>
      <c r="I25" s="52"/>
      <c r="J25" s="52"/>
      <c r="K25" s="53"/>
      <c r="L25" s="49"/>
      <c r="M25" s="194"/>
      <c r="N25" s="196"/>
    </row>
    <row r="26" spans="2:14" x14ac:dyDescent="0.45">
      <c r="B26" s="52" t="s">
        <v>207</v>
      </c>
      <c r="C26" s="52">
        <v>5.3999999999999998E-5</v>
      </c>
      <c r="D26" s="52"/>
      <c r="E26" s="52"/>
      <c r="F26" s="52"/>
      <c r="G26" s="52"/>
      <c r="H26" s="52"/>
      <c r="I26" s="52"/>
      <c r="J26" s="52"/>
      <c r="K26" s="53"/>
      <c r="L26" s="49"/>
      <c r="M26" s="194"/>
      <c r="N26" s="196"/>
    </row>
    <row r="27" spans="2:14" x14ac:dyDescent="0.45">
      <c r="B27" s="52" t="s">
        <v>210</v>
      </c>
      <c r="C27" s="52">
        <f>IF(C23=C21,1,0)</f>
        <v>0</v>
      </c>
      <c r="D27" s="52"/>
      <c r="E27" s="52"/>
      <c r="F27" s="52"/>
      <c r="G27" s="52"/>
      <c r="H27" s="52"/>
      <c r="I27" s="52"/>
      <c r="J27" s="52"/>
      <c r="K27" s="53"/>
      <c r="L27" s="49"/>
      <c r="M27" s="194"/>
      <c r="N27" s="196"/>
    </row>
    <row r="28" spans="2:14" x14ac:dyDescent="0.45">
      <c r="B28" s="52"/>
      <c r="C28" s="52"/>
      <c r="D28" s="52"/>
      <c r="E28" s="52"/>
      <c r="F28" s="52"/>
      <c r="G28" s="52"/>
      <c r="H28" s="52"/>
      <c r="I28" s="52"/>
      <c r="J28" s="52"/>
      <c r="K28" s="53"/>
      <c r="L28" s="49"/>
      <c r="M28" s="194"/>
      <c r="N28" s="196"/>
    </row>
    <row r="29" spans="2:14" x14ac:dyDescent="0.45">
      <c r="B29" s="52" t="s">
        <v>209</v>
      </c>
      <c r="C29" s="52">
        <v>1.4E-5</v>
      </c>
      <c r="D29" s="52"/>
      <c r="E29" s="52"/>
      <c r="F29" s="52"/>
      <c r="G29" s="52"/>
      <c r="H29" s="52"/>
      <c r="I29" s="52"/>
      <c r="J29" s="52"/>
      <c r="K29" s="53"/>
      <c r="L29" s="49"/>
      <c r="M29" s="194"/>
      <c r="N29" s="196"/>
    </row>
    <row r="30" spans="2:14" x14ac:dyDescent="0.45">
      <c r="B30" s="52" t="s">
        <v>211</v>
      </c>
      <c r="C30" s="52">
        <f>IF(C23=C22,1,0)</f>
        <v>1</v>
      </c>
      <c r="D30" s="52"/>
      <c r="E30" s="52"/>
      <c r="F30" s="52"/>
      <c r="G30" s="52"/>
      <c r="H30" s="52"/>
      <c r="I30" s="52"/>
      <c r="J30" s="52"/>
      <c r="K30" s="53"/>
      <c r="L30" s="49"/>
      <c r="M30" s="194"/>
      <c r="N30" s="196"/>
    </row>
    <row r="31" spans="2:14" x14ac:dyDescent="0.45">
      <c r="B31" s="52"/>
      <c r="C31" s="52"/>
      <c r="D31" s="52"/>
      <c r="E31" s="52"/>
      <c r="F31" s="52"/>
      <c r="G31" s="52"/>
      <c r="H31" s="52"/>
      <c r="I31" s="52"/>
      <c r="J31" s="52"/>
      <c r="K31" s="53"/>
      <c r="L31" s="49"/>
      <c r="M31" s="194"/>
      <c r="N31" s="196"/>
    </row>
    <row r="32" spans="2:14" x14ac:dyDescent="0.45">
      <c r="B32" s="52"/>
      <c r="C32" s="52"/>
      <c r="D32" s="52"/>
      <c r="E32" s="52"/>
      <c r="F32" s="52"/>
      <c r="G32" s="52"/>
      <c r="H32" s="52"/>
      <c r="I32" s="52"/>
      <c r="J32" s="52"/>
      <c r="K32" s="53"/>
      <c r="L32" s="49"/>
      <c r="M32" s="194"/>
      <c r="N32" s="196"/>
    </row>
    <row r="33" spans="2:14" x14ac:dyDescent="0.45">
      <c r="B33" s="56" t="s">
        <v>91</v>
      </c>
      <c r="C33" s="57"/>
      <c r="D33" s="56" t="s">
        <v>199</v>
      </c>
      <c r="E33" s="57"/>
      <c r="F33" s="57"/>
      <c r="G33" s="57"/>
      <c r="H33" s="57"/>
      <c r="I33" s="57"/>
      <c r="J33" s="57"/>
      <c r="K33" s="58"/>
      <c r="L33" s="49" t="s">
        <v>95</v>
      </c>
      <c r="M33" s="194" t="s">
        <v>202</v>
      </c>
      <c r="N33" s="49" t="s">
        <v>204</v>
      </c>
    </row>
    <row r="34" spans="2:14" x14ac:dyDescent="0.45">
      <c r="B34" s="52"/>
      <c r="C34" s="52" t="s">
        <v>24</v>
      </c>
      <c r="D34" s="59">
        <f>(D15*(1-(D10/100)))*(($C$27*$C$26)+($C$30*$C$29))</f>
        <v>7.672946917999999E-5</v>
      </c>
      <c r="E34" s="59">
        <f t="shared" ref="E34:J34" si="0">(E15*(1-(E10/100)))*(($C$27*$C$26)+($C$30*$C$29))</f>
        <v>2.5378942121077997E-5</v>
      </c>
      <c r="F34" s="59">
        <f t="shared" si="0"/>
        <v>2.5937236791647995E-5</v>
      </c>
      <c r="G34" s="59">
        <f t="shared" si="0"/>
        <v>5.0278475519999992E-5</v>
      </c>
      <c r="H34" s="59">
        <f t="shared" si="0"/>
        <v>7.9124031301427836E-5</v>
      </c>
      <c r="I34" s="59">
        <f t="shared" si="0"/>
        <v>2.5378942121077997E-5</v>
      </c>
      <c r="J34" s="59">
        <f t="shared" si="0"/>
        <v>4.7984936050687997E-5</v>
      </c>
      <c r="K34" s="53" t="s">
        <v>83</v>
      </c>
      <c r="L34" s="49"/>
      <c r="M34" s="194"/>
      <c r="N34" s="196"/>
    </row>
    <row r="35" spans="2:14" x14ac:dyDescent="0.45">
      <c r="B35" s="52"/>
      <c r="C35" s="52" t="s">
        <v>25</v>
      </c>
      <c r="D35" s="59">
        <f t="shared" ref="D35:J37" si="1">(D16*(1-(D11/100)))*(($C$27*$C$26)+($C$30*$C$29))</f>
        <v>6.7112895464999965E-5</v>
      </c>
      <c r="E35" s="59">
        <f>(E16*(1-(E11/100)))*(($C$27*$C$26)+($C$30*$C$29))</f>
        <v>2.6287982582400004E-5</v>
      </c>
      <c r="F35" s="59">
        <f t="shared" si="1"/>
        <v>2.6840333594535998E-5</v>
      </c>
      <c r="G35" s="59">
        <f t="shared" si="1"/>
        <v>4.2567611624999983E-5</v>
      </c>
      <c r="H35" s="59">
        <f t="shared" si="1"/>
        <v>6.0130747084937739E-5</v>
      </c>
      <c r="I35" s="59">
        <f t="shared" si="1"/>
        <v>2.5413513186599998E-5</v>
      </c>
      <c r="J35" s="59">
        <f t="shared" si="1"/>
        <v>4.052802599999998E-5</v>
      </c>
      <c r="K35" s="53" t="s">
        <v>83</v>
      </c>
      <c r="L35" s="49"/>
      <c r="M35" s="194"/>
      <c r="N35" s="196"/>
    </row>
    <row r="36" spans="2:14" x14ac:dyDescent="0.45">
      <c r="B36" s="52"/>
      <c r="C36" s="52" t="s">
        <v>26</v>
      </c>
      <c r="D36" s="59">
        <f t="shared" si="1"/>
        <v>7.0246365190312484E-5</v>
      </c>
      <c r="E36" s="59">
        <f t="shared" si="1"/>
        <v>3.2767185348450001E-5</v>
      </c>
      <c r="F36" s="59">
        <f t="shared" si="1"/>
        <v>3.1801327610440501E-5</v>
      </c>
      <c r="G36" s="59">
        <f t="shared" si="1"/>
        <v>4.1689182808097998E-5</v>
      </c>
      <c r="H36" s="59">
        <f t="shared" si="1"/>
        <v>4.8005515854449995E-5</v>
      </c>
      <c r="I36" s="59">
        <f t="shared" si="1"/>
        <v>3.0763638911249993E-5</v>
      </c>
      <c r="J36" s="59">
        <f t="shared" si="1"/>
        <v>4.3987412462728012E-5</v>
      </c>
      <c r="K36" s="53" t="s">
        <v>83</v>
      </c>
      <c r="L36" s="49"/>
      <c r="M36" s="194"/>
      <c r="N36" s="196"/>
    </row>
    <row r="37" spans="2:14" x14ac:dyDescent="0.45">
      <c r="B37" s="52"/>
      <c r="C37" s="52" t="s">
        <v>27</v>
      </c>
      <c r="D37" s="59">
        <f t="shared" si="1"/>
        <v>6.1902689033149986E-5</v>
      </c>
      <c r="E37" s="59">
        <f t="shared" si="1"/>
        <v>2.9065610029805991E-5</v>
      </c>
      <c r="F37" s="59">
        <f t="shared" si="1"/>
        <v>3.4702824040416009E-5</v>
      </c>
      <c r="G37" s="59">
        <f t="shared" si="1"/>
        <v>4.6518541397495985E-5</v>
      </c>
      <c r="H37" s="59">
        <f t="shared" si="1"/>
        <v>4.5827296557056012E-5</v>
      </c>
      <c r="I37" s="59">
        <f t="shared" si="1"/>
        <v>3.2638562451935993E-5</v>
      </c>
      <c r="J37" s="59">
        <f t="shared" si="1"/>
        <v>4.9723090406135985E-5</v>
      </c>
      <c r="K37" s="53" t="s">
        <v>83</v>
      </c>
      <c r="L37" s="49"/>
      <c r="M37" s="194"/>
      <c r="N37" s="196"/>
    </row>
    <row r="38" spans="2:14" x14ac:dyDescent="0.45">
      <c r="B38" s="52"/>
      <c r="C38" s="52"/>
      <c r="D38" s="52"/>
      <c r="E38" s="52"/>
      <c r="F38" s="52"/>
      <c r="G38" s="52"/>
      <c r="H38" s="52"/>
      <c r="I38" s="52"/>
      <c r="J38" s="52"/>
      <c r="K38" s="53"/>
      <c r="L38" s="49"/>
      <c r="M38" s="194"/>
      <c r="N38" s="196"/>
    </row>
    <row r="39" spans="2:14" x14ac:dyDescent="0.45">
      <c r="B39" s="51" t="s">
        <v>93</v>
      </c>
      <c r="C39" s="52"/>
      <c r="D39" s="52"/>
      <c r="E39" s="52"/>
      <c r="F39" s="52"/>
      <c r="G39" s="52"/>
      <c r="H39" s="52"/>
      <c r="I39" s="52"/>
      <c r="J39" s="52"/>
      <c r="K39" s="53"/>
      <c r="L39" s="49"/>
      <c r="M39" s="194"/>
      <c r="N39" s="196"/>
    </row>
    <row r="40" spans="2:14" x14ac:dyDescent="0.45">
      <c r="B40" s="52"/>
      <c r="C40" s="52"/>
      <c r="D40" s="51" t="s">
        <v>94</v>
      </c>
      <c r="E40" s="52"/>
      <c r="F40" s="52"/>
      <c r="G40" s="52"/>
      <c r="H40" s="52"/>
      <c r="I40" s="52"/>
      <c r="J40" s="52"/>
      <c r="K40" s="53"/>
      <c r="L40" s="49" t="s">
        <v>96</v>
      </c>
      <c r="M40" s="194" t="s">
        <v>201</v>
      </c>
      <c r="N40" s="49" t="s">
        <v>759</v>
      </c>
    </row>
    <row r="41" spans="2:14" x14ac:dyDescent="0.45">
      <c r="B41" s="52"/>
      <c r="C41" s="52" t="s">
        <v>24</v>
      </c>
      <c r="D41" s="60">
        <f t="shared" ref="D41:J44" si="2">(D5*D34*91.25)*10^-6</f>
        <v>1.1832643265920747E-6</v>
      </c>
      <c r="E41" s="60">
        <f t="shared" si="2"/>
        <v>1.1810725189596673E-7</v>
      </c>
      <c r="F41" s="60">
        <f t="shared" si="2"/>
        <v>5.2376683330674273E-6</v>
      </c>
      <c r="G41" s="60">
        <f t="shared" si="2"/>
        <v>9.2584041784415971E-6</v>
      </c>
      <c r="H41" s="60">
        <f t="shared" si="2"/>
        <v>4.0519020809304688E-5</v>
      </c>
      <c r="I41" s="60">
        <f t="shared" si="2"/>
        <v>5.3773537039693088E-6</v>
      </c>
      <c r="J41" s="60">
        <f t="shared" si="2"/>
        <v>1.0302905600613283E-5</v>
      </c>
      <c r="K41" s="53" t="s">
        <v>87</v>
      </c>
      <c r="L41" s="49"/>
      <c r="M41" s="194"/>
      <c r="N41" s="196"/>
    </row>
    <row r="42" spans="2:14" x14ac:dyDescent="0.45">
      <c r="B42" s="52"/>
      <c r="C42" s="52" t="s">
        <v>25</v>
      </c>
      <c r="D42" s="60">
        <f t="shared" si="2"/>
        <v>9.6760017036663698E-7</v>
      </c>
      <c r="E42" s="60">
        <f t="shared" si="2"/>
        <v>1.22337698942844E-7</v>
      </c>
      <c r="F42" s="60">
        <f t="shared" si="2"/>
        <v>5.5155543520091748E-6</v>
      </c>
      <c r="G42" s="60">
        <f t="shared" si="2"/>
        <v>7.8346221290957779E-6</v>
      </c>
      <c r="H42" s="60">
        <f t="shared" si="2"/>
        <v>2.6693917716850267E-5</v>
      </c>
      <c r="I42" s="60">
        <f t="shared" si="2"/>
        <v>5.3267041308028421E-6</v>
      </c>
      <c r="J42" s="60">
        <f t="shared" si="2"/>
        <v>6.6974082765974966E-6</v>
      </c>
      <c r="K42" s="53" t="s">
        <v>87</v>
      </c>
      <c r="L42" s="49"/>
      <c r="M42" s="194"/>
      <c r="N42" s="196"/>
    </row>
    <row r="43" spans="2:14" x14ac:dyDescent="0.45">
      <c r="B43" s="52"/>
      <c r="C43" s="52" t="s">
        <v>26</v>
      </c>
      <c r="D43" s="60">
        <f t="shared" si="2"/>
        <v>9.4867716189517001E-7</v>
      </c>
      <c r="E43" s="60">
        <f t="shared" si="2"/>
        <v>1.524902888153492E-7</v>
      </c>
      <c r="F43" s="60">
        <f t="shared" si="2"/>
        <v>6.1287518570840924E-6</v>
      </c>
      <c r="G43" s="60">
        <f t="shared" si="2"/>
        <v>6.7066951727742546E-6</v>
      </c>
      <c r="H43" s="60">
        <f t="shared" si="2"/>
        <v>1.9523903304899629E-5</v>
      </c>
      <c r="I43" s="60">
        <f t="shared" si="2"/>
        <v>6.3049308857634076E-6</v>
      </c>
      <c r="J43" s="60">
        <f t="shared" si="2"/>
        <v>1.1439476453588204E-6</v>
      </c>
      <c r="K43" s="53" t="s">
        <v>87</v>
      </c>
      <c r="L43" s="49"/>
      <c r="M43" s="194"/>
      <c r="N43" s="196"/>
    </row>
    <row r="44" spans="2:14" x14ac:dyDescent="0.45">
      <c r="B44" s="52"/>
      <c r="C44" s="52" t="s">
        <v>27</v>
      </c>
      <c r="D44" s="60">
        <f t="shared" si="2"/>
        <v>8.3599581539269049E-7</v>
      </c>
      <c r="E44" s="60">
        <f t="shared" si="2"/>
        <v>1.3526408267620961E-7</v>
      </c>
      <c r="F44" s="60">
        <f t="shared" si="2"/>
        <v>6.6562619221320938E-6</v>
      </c>
      <c r="G44" s="60">
        <f t="shared" si="2"/>
        <v>5.8323784240645532E-6</v>
      </c>
      <c r="H44" s="60">
        <f t="shared" si="2"/>
        <v>1.6739508465757939E-5</v>
      </c>
      <c r="I44" s="60">
        <f t="shared" si="2"/>
        <v>6.6564308210570208E-6</v>
      </c>
      <c r="J44" s="60">
        <f t="shared" si="2"/>
        <v>2.4591797437614703E-6</v>
      </c>
      <c r="K44" s="53" t="s">
        <v>87</v>
      </c>
      <c r="L44" s="49"/>
      <c r="M44" s="194"/>
      <c r="N44" s="196"/>
    </row>
    <row r="45" spans="2:14" x14ac:dyDescent="0.45">
      <c r="B45" s="52"/>
      <c r="C45" s="52"/>
      <c r="D45" s="52"/>
      <c r="E45" s="52"/>
      <c r="F45" s="52"/>
      <c r="G45" s="52"/>
      <c r="H45" s="52"/>
      <c r="I45" s="52"/>
      <c r="J45" s="52"/>
      <c r="K45" s="53"/>
      <c r="L45" s="49"/>
      <c r="M45" s="194"/>
      <c r="N45" s="196"/>
    </row>
    <row r="46" spans="2:14" x14ac:dyDescent="0.45">
      <c r="B46" s="51" t="s">
        <v>36</v>
      </c>
      <c r="C46" s="61">
        <f>SUM(D41:J44)</f>
        <v>2.0537928426998209E-4</v>
      </c>
      <c r="D46" s="52"/>
      <c r="E46" s="52"/>
      <c r="F46" s="52"/>
      <c r="G46" s="52"/>
      <c r="H46" s="52"/>
      <c r="I46" s="52"/>
      <c r="J46" s="52"/>
      <c r="K46" s="53" t="s">
        <v>88</v>
      </c>
      <c r="L46" s="49"/>
      <c r="M46" s="194"/>
      <c r="N46" s="196"/>
    </row>
    <row r="47" spans="2:14" x14ac:dyDescent="0.45">
      <c r="B47" s="51" t="s">
        <v>36</v>
      </c>
      <c r="C47" s="61">
        <f>C46*'GWP Factors'!C5</f>
        <v>5.134482106749552E-3</v>
      </c>
      <c r="D47" s="52"/>
      <c r="E47" s="52"/>
      <c r="F47" s="52"/>
      <c r="G47" s="52"/>
      <c r="H47" s="52"/>
      <c r="I47" s="52"/>
      <c r="J47" s="52"/>
      <c r="K47" s="53" t="s">
        <v>89</v>
      </c>
      <c r="L47" s="49"/>
      <c r="M47" s="194"/>
      <c r="N47" s="196"/>
    </row>
    <row r="48" spans="2:14" x14ac:dyDescent="0.45">
      <c r="B48" s="62" t="s">
        <v>467</v>
      </c>
      <c r="C48" s="511">
        <f>C47*10^3</f>
        <v>5.1344821067495516</v>
      </c>
      <c r="D48" s="54"/>
      <c r="E48" s="54"/>
      <c r="F48" s="54"/>
      <c r="G48" s="54"/>
      <c r="H48" s="54"/>
      <c r="I48" s="54"/>
      <c r="J48" s="54"/>
      <c r="K48" s="55" t="s">
        <v>90</v>
      </c>
      <c r="L48" s="63"/>
      <c r="M48" s="198"/>
      <c r="N48" s="199"/>
    </row>
  </sheetData>
  <sheetProtection sheet="1" objects="1" scenarios="1"/>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J85"/>
  <sheetViews>
    <sheetView showGridLines="0" zoomScale="80" zoomScaleNormal="80" zoomScalePageLayoutView="80" workbookViewId="0"/>
  </sheetViews>
  <sheetFormatPr defaultColWidth="8.86328125" defaultRowHeight="15.4" x14ac:dyDescent="0.45"/>
  <cols>
    <col min="1" max="1" width="2.73046875" style="1" customWidth="1"/>
    <col min="2" max="2" width="36.3984375" style="1" customWidth="1"/>
    <col min="3" max="3" width="13.73046875" style="1" bestFit="1" customWidth="1"/>
    <col min="4" max="4" width="11" style="1" bestFit="1" customWidth="1"/>
    <col min="5" max="5" width="11.3984375" style="1" customWidth="1"/>
    <col min="6" max="6" width="10.265625" style="1" customWidth="1"/>
    <col min="7" max="7" width="12.86328125" style="1" customWidth="1"/>
    <col min="8" max="8" width="11.3984375" style="1" customWidth="1"/>
    <col min="9" max="9" width="11.265625" style="1" customWidth="1"/>
    <col min="10" max="10" width="11.86328125" style="1" customWidth="1"/>
    <col min="11" max="11" width="16.3984375" style="1" customWidth="1"/>
    <col min="12" max="12" width="8.86328125" style="1"/>
    <col min="13" max="13" width="31.1328125" style="1" customWidth="1"/>
    <col min="14" max="14" width="18.73046875" style="1" customWidth="1"/>
    <col min="15" max="15" width="11.73046875" style="1" customWidth="1"/>
    <col min="16" max="16" width="10.3984375" style="1" customWidth="1"/>
    <col min="17" max="18" width="11.3984375" style="1" customWidth="1"/>
    <col min="19" max="19" width="10.86328125" style="1" customWidth="1"/>
    <col min="20" max="20" width="11.265625" style="1" customWidth="1"/>
    <col min="21" max="21" width="10.1328125" style="1" customWidth="1"/>
    <col min="22" max="22" width="19.73046875" style="523" customWidth="1"/>
    <col min="23" max="23" width="22.73046875" style="67" customWidth="1"/>
    <col min="24" max="25" width="23" style="67" customWidth="1"/>
    <col min="26" max="16384" width="8.86328125" style="1"/>
  </cols>
  <sheetData>
    <row r="1" spans="1:36" ht="27.95" customHeight="1" x14ac:dyDescent="0.45">
      <c r="A1" s="86" t="s">
        <v>127</v>
      </c>
      <c r="B1" s="20"/>
    </row>
    <row r="3" spans="1:36" x14ac:dyDescent="0.45">
      <c r="B3" s="70" t="s">
        <v>97</v>
      </c>
      <c r="C3" s="70" t="s">
        <v>72</v>
      </c>
      <c r="D3" s="70" t="str">
        <f>'Data input'!D9</f>
        <v>Bulls &gt;1</v>
      </c>
      <c r="E3" s="70" t="str">
        <f>'Data input'!E9</f>
        <v>Bulls&lt;1</v>
      </c>
      <c r="F3" s="70" t="str">
        <f>'Data input'!F9</f>
        <v>Steers&lt;1</v>
      </c>
      <c r="G3" s="70" t="str">
        <f>'Data input'!G9</f>
        <v>Cows 1 to 2</v>
      </c>
      <c r="H3" s="70" t="str">
        <f>'Data input'!H9</f>
        <v>Cows &gt;2</v>
      </c>
      <c r="I3" s="70" t="str">
        <f>'Data input'!I9</f>
        <v>Cows&lt;1</v>
      </c>
      <c r="J3" s="70" t="str">
        <f>'Data input'!J9</f>
        <v>Steers&gt;1</v>
      </c>
      <c r="K3" s="70" t="str">
        <f>'Data input'!K9</f>
        <v>Units</v>
      </c>
      <c r="M3" s="70" t="s">
        <v>99</v>
      </c>
      <c r="N3" s="70" t="s">
        <v>72</v>
      </c>
      <c r="O3" s="70" t="str">
        <f>'Data input'!D9</f>
        <v>Bulls &gt;1</v>
      </c>
      <c r="P3" s="70" t="str">
        <f>'Data input'!E9</f>
        <v>Bulls&lt;1</v>
      </c>
      <c r="Q3" s="192" t="str">
        <f>'Data input'!F9</f>
        <v>Steers&lt;1</v>
      </c>
      <c r="R3" s="70" t="str">
        <f>'Data input'!G9</f>
        <v>Cows 1 to 2</v>
      </c>
      <c r="S3" s="70" t="str">
        <f>'Data input'!H9</f>
        <v>Cows &gt;2</v>
      </c>
      <c r="T3" s="192" t="str">
        <f>'Data input'!I9</f>
        <v>Cows&lt;1</v>
      </c>
      <c r="U3" s="70" t="str">
        <f>'Data input'!J9</f>
        <v>Steers&gt;1</v>
      </c>
      <c r="V3" s="281" t="str">
        <f>'Data input'!K9</f>
        <v>Units</v>
      </c>
      <c r="W3" s="69" t="s">
        <v>185</v>
      </c>
      <c r="X3" s="522" t="s">
        <v>193</v>
      </c>
      <c r="Y3" s="522" t="s">
        <v>203</v>
      </c>
      <c r="AA3" s="3"/>
      <c r="AB3" s="3"/>
      <c r="AC3" s="3"/>
      <c r="AD3" s="3"/>
      <c r="AE3" s="3"/>
      <c r="AF3" s="3"/>
      <c r="AG3" s="3"/>
      <c r="AH3" s="3"/>
      <c r="AI3" s="3"/>
      <c r="AJ3" s="3"/>
    </row>
    <row r="4" spans="1:36" x14ac:dyDescent="0.45">
      <c r="B4" s="77"/>
      <c r="C4" s="77"/>
      <c r="D4" s="77"/>
      <c r="E4" s="77"/>
      <c r="F4" s="77"/>
      <c r="G4" s="77"/>
      <c r="H4" s="77"/>
      <c r="I4" s="77"/>
      <c r="J4" s="77"/>
      <c r="K4" s="77"/>
      <c r="M4" s="77"/>
      <c r="N4" s="77"/>
      <c r="O4" s="77"/>
      <c r="P4" s="77"/>
      <c r="Q4" s="77"/>
      <c r="R4" s="77"/>
      <c r="S4" s="77"/>
      <c r="T4" s="77"/>
      <c r="U4" s="77"/>
      <c r="V4" s="524"/>
      <c r="W4" s="84"/>
      <c r="X4" s="522"/>
      <c r="Y4" s="522"/>
      <c r="AA4" s="68"/>
      <c r="AB4" s="68"/>
      <c r="AC4" s="68"/>
      <c r="AD4" s="68"/>
      <c r="AE4" s="68"/>
      <c r="AF4" s="68"/>
      <c r="AG4" s="68"/>
      <c r="AH4" s="3"/>
      <c r="AI4" s="3"/>
      <c r="AJ4" s="3"/>
    </row>
    <row r="5" spans="1:36" ht="17.25" customHeight="1" x14ac:dyDescent="0.45">
      <c r="B5" s="76" t="s">
        <v>29</v>
      </c>
      <c r="C5" s="77" t="s">
        <v>24</v>
      </c>
      <c r="D5" s="202">
        <f>'Enteric fermentation'!O6</f>
        <v>10.539762249999999</v>
      </c>
      <c r="E5" s="202">
        <f>'Enteric fermentation'!P6</f>
        <v>3.4861184232249993</v>
      </c>
      <c r="F5" s="202">
        <f>'Enteric fermentation'!Q6</f>
        <v>3.5628072515999993</v>
      </c>
      <c r="G5" s="202">
        <f>'Enteric fermentation'!R6</f>
        <v>6.9063839999999983</v>
      </c>
      <c r="H5" s="202">
        <f>'Enteric fermentation'!S6</f>
        <v>10.868685618328</v>
      </c>
      <c r="I5" s="202">
        <f>'Enteric fermentation'!T6</f>
        <v>3.4861184232249993</v>
      </c>
      <c r="J5" s="202">
        <f>'Enteric fermentation'!U6</f>
        <v>6.5913373695999997</v>
      </c>
      <c r="K5" s="77" t="s">
        <v>75</v>
      </c>
      <c r="M5" s="76" t="s">
        <v>102</v>
      </c>
      <c r="N5" s="77"/>
      <c r="O5" s="76" t="s">
        <v>101</v>
      </c>
      <c r="P5" s="77"/>
      <c r="Q5" s="77"/>
      <c r="R5" s="77"/>
      <c r="S5" s="77"/>
      <c r="T5" s="77"/>
      <c r="U5" s="77"/>
      <c r="V5" s="524"/>
      <c r="W5" s="84" t="s">
        <v>100</v>
      </c>
      <c r="X5" s="201" t="s">
        <v>201</v>
      </c>
      <c r="Y5" s="201" t="s">
        <v>759</v>
      </c>
      <c r="AA5" s="3"/>
      <c r="AB5" s="4"/>
      <c r="AC5" s="4"/>
      <c r="AD5" s="4"/>
      <c r="AE5" s="4"/>
      <c r="AF5" s="4"/>
      <c r="AG5" s="4"/>
      <c r="AH5" s="4"/>
      <c r="AI5" s="4"/>
      <c r="AJ5" s="3"/>
    </row>
    <row r="6" spans="1:36" ht="18.600000000000001" customHeight="1" x14ac:dyDescent="0.45">
      <c r="B6" s="77"/>
      <c r="C6" s="77" t="s">
        <v>25</v>
      </c>
      <c r="D6" s="202">
        <f>'Enteric fermentation'!O7</f>
        <v>10.894950562499996</v>
      </c>
      <c r="E6" s="202">
        <f>'Enteric fermentation'!P7</f>
        <v>4.2675296400000011</v>
      </c>
      <c r="F6" s="202">
        <f>'Enteric fermentation'!Q7</f>
        <v>4.3571970121000003</v>
      </c>
      <c r="G6" s="202">
        <f>'Enteric fermentation'!R7</f>
        <v>6.9103265624999981</v>
      </c>
      <c r="H6" s="202">
        <f>'Enteric fermentation'!S7</f>
        <v>9.7614849163859976</v>
      </c>
      <c r="I6" s="202">
        <f>'Enteric fermentation'!T7</f>
        <v>4.1255703225000007</v>
      </c>
      <c r="J6" s="202">
        <f>'Enteric fermentation'!U7</f>
        <v>6.5792249999999974</v>
      </c>
      <c r="K6" s="77" t="s">
        <v>75</v>
      </c>
      <c r="M6" s="77"/>
      <c r="N6" s="77" t="s">
        <v>24</v>
      </c>
      <c r="O6" s="83">
        <f t="shared" ref="O6:U6" si="0">(D5*D10%)+(0.032*D$14)</f>
        <v>0.42159048999999998</v>
      </c>
      <c r="P6" s="83">
        <f t="shared" si="0"/>
        <v>0.13944473692899997</v>
      </c>
      <c r="Q6" s="83">
        <f t="shared" si="0"/>
        <v>0.14251229006399999</v>
      </c>
      <c r="R6" s="83">
        <f t="shared" si="0"/>
        <v>0.27625535999999995</v>
      </c>
      <c r="S6" s="83">
        <f t="shared" si="0"/>
        <v>0.43474742473312</v>
      </c>
      <c r="T6" s="83">
        <f t="shared" si="0"/>
        <v>0.13944473692899997</v>
      </c>
      <c r="U6" s="83">
        <f t="shared" si="0"/>
        <v>0.26365349478400002</v>
      </c>
      <c r="V6" s="524" t="s">
        <v>40</v>
      </c>
      <c r="W6" s="84"/>
      <c r="X6" s="201"/>
      <c r="Y6" s="201"/>
      <c r="AA6" s="4"/>
      <c r="AB6" s="4"/>
      <c r="AC6" s="4"/>
      <c r="AD6" s="4"/>
      <c r="AE6" s="4"/>
      <c r="AF6" s="4"/>
      <c r="AG6" s="4"/>
      <c r="AH6" s="4"/>
      <c r="AI6" s="3"/>
      <c r="AJ6" s="3"/>
    </row>
    <row r="7" spans="1:36" x14ac:dyDescent="0.45">
      <c r="B7" s="77"/>
      <c r="C7" s="77" t="s">
        <v>26</v>
      </c>
      <c r="D7" s="202">
        <f>'Enteric fermentation'!O8</f>
        <v>10.675739390624999</v>
      </c>
      <c r="E7" s="202">
        <f>'Enteric fermentation'!P8</f>
        <v>4.9798154024999999</v>
      </c>
      <c r="F7" s="202">
        <f>'Enteric fermentation'!Q8</f>
        <v>4.8330285122250007</v>
      </c>
      <c r="G7" s="202">
        <f>'Enteric fermentation'!R8</f>
        <v>6.3357420681000001</v>
      </c>
      <c r="H7" s="202">
        <f>'Enteric fermentation'!S8</f>
        <v>7.2956711025000001</v>
      </c>
      <c r="I7" s="202">
        <f>'Enteric fermentation'!T8</f>
        <v>4.6753250624999989</v>
      </c>
      <c r="J7" s="202">
        <f>'Enteric fermentation'!U8</f>
        <v>6.6850170916000025</v>
      </c>
      <c r="K7" s="77" t="s">
        <v>75</v>
      </c>
      <c r="M7" s="77"/>
      <c r="N7" s="77" t="s">
        <v>25</v>
      </c>
      <c r="O7" s="83">
        <f>(D6*D11%)+(0.032*D$15)</f>
        <v>1.1984445618749997</v>
      </c>
      <c r="P7" s="83">
        <f t="shared" ref="P7:U7" si="1">(E6*E11%)+(0.032*E$15)</f>
        <v>0.46942826040000013</v>
      </c>
      <c r="Q7" s="83">
        <f t="shared" si="1"/>
        <v>0.60729167133100004</v>
      </c>
      <c r="R7" s="83">
        <f t="shared" si="1"/>
        <v>0.76013592187499979</v>
      </c>
      <c r="S7" s="83">
        <f t="shared" si="1"/>
        <v>1.0737633408024598</v>
      </c>
      <c r="T7" s="83">
        <f t="shared" si="1"/>
        <v>0.58181273547500001</v>
      </c>
      <c r="U7" s="83">
        <f t="shared" si="1"/>
        <v>0.72371474999999974</v>
      </c>
      <c r="V7" s="524" t="s">
        <v>40</v>
      </c>
      <c r="W7" s="84"/>
      <c r="X7" s="201"/>
      <c r="Y7" s="201"/>
      <c r="AA7" s="4"/>
      <c r="AB7" s="4"/>
      <c r="AC7" s="4"/>
      <c r="AD7" s="4"/>
      <c r="AE7" s="4"/>
      <c r="AF7" s="4"/>
      <c r="AG7" s="4"/>
      <c r="AH7" s="4"/>
      <c r="AI7" s="3"/>
      <c r="AJ7" s="3"/>
    </row>
    <row r="8" spans="1:36" ht="16.7" customHeight="1" x14ac:dyDescent="0.45">
      <c r="B8" s="77"/>
      <c r="C8" s="77" t="s">
        <v>27</v>
      </c>
      <c r="D8" s="202">
        <f>'Enteric fermentation'!O9</f>
        <v>9.0237156024999976</v>
      </c>
      <c r="E8" s="202">
        <f>'Enteric fermentation'!P9</f>
        <v>4.2369693920999989</v>
      </c>
      <c r="F8" s="202">
        <f>'Enteric fermentation'!Q9</f>
        <v>5.0587207056000016</v>
      </c>
      <c r="G8" s="202">
        <f>'Enteric fermentation'!R9</f>
        <v>6.7811284835999981</v>
      </c>
      <c r="H8" s="202">
        <f>'Enteric fermentation'!S9</f>
        <v>6.6803639296000012</v>
      </c>
      <c r="I8" s="202">
        <f>'Enteric fermentation'!T9</f>
        <v>4.7578079375999991</v>
      </c>
      <c r="J8" s="202">
        <f>'Enteric fermentation'!U9</f>
        <v>7.2482639075999984</v>
      </c>
      <c r="K8" s="77" t="s">
        <v>75</v>
      </c>
      <c r="M8" s="77"/>
      <c r="N8" s="77" t="s">
        <v>26</v>
      </c>
      <c r="O8" s="83">
        <f>(D7*D12%)+(0.032*D$15)</f>
        <v>0.74730175734375004</v>
      </c>
      <c r="P8" s="83">
        <f t="shared" ref="P8:U8" si="2">(E7*E12%)+(0.032*E$15)</f>
        <v>0.34858707817500001</v>
      </c>
      <c r="Q8" s="83">
        <f t="shared" si="2"/>
        <v>0.46631199585575006</v>
      </c>
      <c r="R8" s="83">
        <f t="shared" si="2"/>
        <v>0.44350194476700006</v>
      </c>
      <c r="S8" s="83">
        <f t="shared" si="2"/>
        <v>0.51069697717500007</v>
      </c>
      <c r="T8" s="83">
        <f t="shared" si="2"/>
        <v>0.45527275437499998</v>
      </c>
      <c r="U8" s="83">
        <f t="shared" si="2"/>
        <v>0.46795119641200023</v>
      </c>
      <c r="V8" s="524" t="s">
        <v>40</v>
      </c>
      <c r="W8" s="84"/>
      <c r="X8" s="201"/>
      <c r="Y8" s="201"/>
      <c r="AA8" s="4"/>
      <c r="AB8" s="4"/>
      <c r="AC8" s="4"/>
      <c r="AD8" s="4"/>
      <c r="AE8" s="4"/>
      <c r="AF8" s="4"/>
      <c r="AG8" s="4"/>
      <c r="AH8" s="4"/>
      <c r="AI8" s="3"/>
      <c r="AJ8" s="3"/>
    </row>
    <row r="9" spans="1:36" x14ac:dyDescent="0.45">
      <c r="B9" s="77"/>
      <c r="C9" s="77"/>
      <c r="D9" s="77"/>
      <c r="E9" s="77"/>
      <c r="F9" s="77"/>
      <c r="G9" s="77"/>
      <c r="H9" s="77"/>
      <c r="I9" s="77"/>
      <c r="J9" s="77"/>
      <c r="K9" s="77"/>
      <c r="M9" s="77"/>
      <c r="N9" s="77" t="s">
        <v>27</v>
      </c>
      <c r="O9" s="83">
        <f t="shared" ref="O9" si="3">(D8*D13%)+(0.032*D$14)</f>
        <v>0.49630435813749985</v>
      </c>
      <c r="P9" s="83">
        <f t="shared" ref="P9" si="4">(E8*E13%)+(0.032*E$14)</f>
        <v>0.23303331656549994</v>
      </c>
      <c r="Q9" s="83">
        <f t="shared" ref="Q9" si="5">(F8*F13%)+(0.032*F$14)</f>
        <v>0.27822963880800011</v>
      </c>
      <c r="R9" s="83">
        <f t="shared" ref="R9" si="6">(G8*G13%)+(0.032*G$14)</f>
        <v>0.37296206659799991</v>
      </c>
      <c r="S9" s="83">
        <f t="shared" ref="S9" si="7">(H8*H13%)+(0.032*H$14)</f>
        <v>0.36742001612800007</v>
      </c>
      <c r="T9" s="83">
        <f t="shared" ref="T9" si="8">(I8*I13%)+(0.032*I$14)</f>
        <v>0.26167943656799997</v>
      </c>
      <c r="U9" s="83">
        <f t="shared" ref="U9" si="9">(J8*J13%)+(0.032*J$14)</f>
        <v>0.39865451491799991</v>
      </c>
      <c r="V9" s="524" t="s">
        <v>40</v>
      </c>
      <c r="W9" s="84"/>
      <c r="X9" s="201"/>
      <c r="Y9" s="201"/>
      <c r="AA9" s="4"/>
      <c r="AB9" s="4"/>
      <c r="AC9" s="4"/>
      <c r="AD9" s="4"/>
      <c r="AE9" s="4"/>
      <c r="AF9" s="4"/>
      <c r="AG9" s="4"/>
      <c r="AH9" s="4"/>
      <c r="AI9" s="3"/>
      <c r="AJ9" s="3"/>
    </row>
    <row r="10" spans="1:36" x14ac:dyDescent="0.45">
      <c r="B10" s="76" t="s">
        <v>98</v>
      </c>
      <c r="C10" s="77" t="s">
        <v>24</v>
      </c>
      <c r="D10" s="77">
        <f>'Data input'!D28</f>
        <v>4</v>
      </c>
      <c r="E10" s="77">
        <f>'Data input'!E28</f>
        <v>4</v>
      </c>
      <c r="F10" s="77">
        <f>'Data input'!F28</f>
        <v>4</v>
      </c>
      <c r="G10" s="77">
        <f>'Data input'!G28</f>
        <v>4</v>
      </c>
      <c r="H10" s="77">
        <f>'Data input'!H28</f>
        <v>4</v>
      </c>
      <c r="I10" s="77">
        <f>'Data input'!I28</f>
        <v>4</v>
      </c>
      <c r="J10" s="77">
        <f>'Data input'!J28</f>
        <v>4</v>
      </c>
      <c r="K10" s="78" t="str">
        <f>'Data input'!K28</f>
        <v>%</v>
      </c>
      <c r="M10" s="77"/>
      <c r="N10" s="77"/>
      <c r="O10" s="77"/>
      <c r="P10" s="77"/>
      <c r="Q10" s="77"/>
      <c r="R10" s="77"/>
      <c r="S10" s="77"/>
      <c r="T10" s="83"/>
      <c r="U10" s="77"/>
      <c r="V10" s="524"/>
      <c r="W10" s="84"/>
      <c r="X10" s="201"/>
      <c r="Y10" s="201"/>
      <c r="AA10" s="3"/>
      <c r="AB10" s="3"/>
      <c r="AC10" s="3"/>
      <c r="AD10" s="3"/>
      <c r="AE10" s="3"/>
      <c r="AF10" s="3"/>
      <c r="AG10" s="3"/>
      <c r="AH10" s="3"/>
      <c r="AI10" s="3"/>
      <c r="AJ10" s="3"/>
    </row>
    <row r="11" spans="1:36" ht="15.6" customHeight="1" x14ac:dyDescent="0.45">
      <c r="B11" s="77"/>
      <c r="C11" s="77" t="s">
        <v>25</v>
      </c>
      <c r="D11" s="77">
        <f>'Data input'!D29</f>
        <v>11</v>
      </c>
      <c r="E11" s="77">
        <f>'Data input'!E29</f>
        <v>11</v>
      </c>
      <c r="F11" s="77">
        <f>'Data input'!F29</f>
        <v>11</v>
      </c>
      <c r="G11" s="77">
        <f>'Data input'!G29</f>
        <v>11</v>
      </c>
      <c r="H11" s="77">
        <f>'Data input'!H29</f>
        <v>11</v>
      </c>
      <c r="I11" s="77">
        <f>'Data input'!I29</f>
        <v>11</v>
      </c>
      <c r="J11" s="77">
        <f>'Data input'!J29</f>
        <v>11</v>
      </c>
      <c r="K11" s="78" t="str">
        <f>'Data input'!K29</f>
        <v>%</v>
      </c>
      <c r="M11" s="76" t="s">
        <v>214</v>
      </c>
      <c r="N11" s="77"/>
      <c r="O11" s="76" t="s">
        <v>215</v>
      </c>
      <c r="P11" s="77"/>
      <c r="Q11" s="77"/>
      <c r="R11" s="77"/>
      <c r="S11" s="77"/>
      <c r="T11" s="77"/>
      <c r="U11" s="77"/>
      <c r="V11" s="524"/>
      <c r="W11" s="84" t="s">
        <v>216</v>
      </c>
      <c r="X11" s="201" t="s">
        <v>760</v>
      </c>
      <c r="Y11" s="201" t="s">
        <v>217</v>
      </c>
      <c r="AA11" s="75"/>
      <c r="AB11" s="75"/>
      <c r="AC11" s="75"/>
      <c r="AD11" s="75"/>
      <c r="AE11" s="75"/>
      <c r="AF11" s="75"/>
      <c r="AG11" s="75"/>
      <c r="AH11" s="3"/>
      <c r="AI11" s="3"/>
      <c r="AJ11" s="3"/>
    </row>
    <row r="12" spans="1:36" ht="15.95" customHeight="1" x14ac:dyDescent="0.45">
      <c r="B12" s="77"/>
      <c r="C12" s="77" t="s">
        <v>26</v>
      </c>
      <c r="D12" s="77">
        <f>'Data input'!D30</f>
        <v>7</v>
      </c>
      <c r="E12" s="77">
        <f>'Data input'!E30</f>
        <v>7</v>
      </c>
      <c r="F12" s="77">
        <f>'Data input'!F30</f>
        <v>7</v>
      </c>
      <c r="G12" s="77">
        <f>'Data input'!G30</f>
        <v>7</v>
      </c>
      <c r="H12" s="77">
        <f>'Data input'!H30</f>
        <v>7</v>
      </c>
      <c r="I12" s="77">
        <f>'Data input'!I30</f>
        <v>7</v>
      </c>
      <c r="J12" s="77">
        <f>'Data input'!J30</f>
        <v>7</v>
      </c>
      <c r="K12" s="78" t="str">
        <f>'Data input'!K30</f>
        <v>%</v>
      </c>
      <c r="M12" s="77"/>
      <c r="N12" s="77" t="s">
        <v>24</v>
      </c>
      <c r="O12" s="202">
        <f>D5/(1.185+(0.00454*D32)-(0.0000026*(D32)^2)+((0.315*0)))^2</f>
        <v>1.1045744614737434</v>
      </c>
      <c r="P12" s="202">
        <f t="shared" ref="P12:U15" si="10">E5/(1.185+(0.00454*E32)-(0.0000026*(E32)^2)+((0.315*0)))^2</f>
        <v>1.4470860065273263</v>
      </c>
      <c r="Q12" s="202">
        <f t="shared" si="10"/>
        <v>1.4407509849872533</v>
      </c>
      <c r="R12" s="202">
        <f t="shared" si="10"/>
        <v>1.2909203772956441</v>
      </c>
      <c r="S12" s="202">
        <f t="shared" si="10"/>
        <v>1.4009434163832273</v>
      </c>
      <c r="T12" s="202">
        <f t="shared" si="10"/>
        <v>1.4470860065273263</v>
      </c>
      <c r="U12" s="202">
        <f t="shared" si="10"/>
        <v>1.2992655669904316</v>
      </c>
      <c r="V12" s="524" t="s">
        <v>75</v>
      </c>
      <c r="W12" s="84"/>
      <c r="X12" s="201"/>
      <c r="Y12" s="201"/>
      <c r="AA12" s="4"/>
      <c r="AB12" s="4"/>
      <c r="AC12" s="4"/>
      <c r="AD12" s="4"/>
      <c r="AE12" s="4"/>
      <c r="AF12" s="4"/>
      <c r="AG12" s="4"/>
      <c r="AH12" s="3"/>
      <c r="AI12" s="3"/>
      <c r="AJ12" s="3"/>
    </row>
    <row r="13" spans="1:36" x14ac:dyDescent="0.45">
      <c r="B13" s="77"/>
      <c r="C13" s="77" t="s">
        <v>27</v>
      </c>
      <c r="D13" s="77">
        <f>'Data input'!D31</f>
        <v>5.5</v>
      </c>
      <c r="E13" s="77">
        <f>'Data input'!E31</f>
        <v>5.5</v>
      </c>
      <c r="F13" s="77">
        <f>'Data input'!F31</f>
        <v>5.5</v>
      </c>
      <c r="G13" s="77">
        <f>'Data input'!G31</f>
        <v>5.5</v>
      </c>
      <c r="H13" s="77">
        <f>'Data input'!H31</f>
        <v>5.5</v>
      </c>
      <c r="I13" s="77">
        <f>'Data input'!I31</f>
        <v>5.5</v>
      </c>
      <c r="J13" s="77">
        <f>'Data input'!J31</f>
        <v>5.5</v>
      </c>
      <c r="K13" s="78" t="str">
        <f>'Data input'!K31</f>
        <v>%</v>
      </c>
      <c r="M13" s="77"/>
      <c r="N13" s="77" t="s">
        <v>25</v>
      </c>
      <c r="O13" s="202">
        <f t="shared" ref="O13:O15" si="11">D6/(1.185+(0.00454*D33)-(0.0000026*(D33)^2)+((0.315*0)))^2</f>
        <v>1.1138600486517261</v>
      </c>
      <c r="P13" s="202">
        <f t="shared" si="10"/>
        <v>1.3062308431328664</v>
      </c>
      <c r="Q13" s="202">
        <f t="shared" si="10"/>
        <v>1.2802352597949076</v>
      </c>
      <c r="R13" s="202">
        <f t="shared" si="10"/>
        <v>1.1460899241688369</v>
      </c>
      <c r="S13" s="202">
        <f t="shared" si="10"/>
        <v>1.1926765391768439</v>
      </c>
      <c r="T13" s="202">
        <f t="shared" si="10"/>
        <v>1.2627790912690897</v>
      </c>
      <c r="U13" s="202">
        <f t="shared" si="10"/>
        <v>1.229768808006177</v>
      </c>
      <c r="V13" s="524" t="s">
        <v>75</v>
      </c>
      <c r="W13" s="84"/>
      <c r="X13" s="201"/>
      <c r="Y13" s="201"/>
      <c r="AA13" s="4"/>
      <c r="AB13" s="4"/>
      <c r="AC13" s="4"/>
      <c r="AD13" s="4"/>
      <c r="AE13" s="4"/>
      <c r="AF13" s="4"/>
      <c r="AG13" s="4"/>
      <c r="AH13" s="3"/>
      <c r="AI13" s="3"/>
      <c r="AJ13" s="3"/>
    </row>
    <row r="14" spans="1:36" x14ac:dyDescent="0.45">
      <c r="B14" s="77"/>
      <c r="C14" s="190" t="s">
        <v>191</v>
      </c>
      <c r="D14" s="190">
        <v>0</v>
      </c>
      <c r="E14" s="190">
        <v>0</v>
      </c>
      <c r="F14" s="190">
        <v>0</v>
      </c>
      <c r="G14" s="190">
        <v>0</v>
      </c>
      <c r="H14" s="190">
        <v>0</v>
      </c>
      <c r="I14" s="190">
        <v>0</v>
      </c>
      <c r="J14" s="190">
        <v>0</v>
      </c>
      <c r="K14" s="77"/>
      <c r="M14" s="77"/>
      <c r="N14" s="77" t="s">
        <v>26</v>
      </c>
      <c r="O14" s="202">
        <f t="shared" si="11"/>
        <v>1.1038551732068973</v>
      </c>
      <c r="P14" s="202">
        <f t="shared" si="10"/>
        <v>1.2587621567944964</v>
      </c>
      <c r="Q14" s="202">
        <f t="shared" si="10"/>
        <v>1.1602979422617512</v>
      </c>
      <c r="R14" s="202">
        <f t="shared" si="10"/>
        <v>1.0281109094803582</v>
      </c>
      <c r="S14" s="202">
        <f t="shared" si="10"/>
        <v>0.92725570934256041</v>
      </c>
      <c r="T14" s="202">
        <f t="shared" si="10"/>
        <v>1.1817952642247291</v>
      </c>
      <c r="U14" s="202">
        <f t="shared" si="10"/>
        <v>1.1339420165491696</v>
      </c>
      <c r="V14" s="524" t="s">
        <v>75</v>
      </c>
      <c r="W14" s="84"/>
      <c r="X14" s="201"/>
      <c r="Y14" s="201"/>
      <c r="AA14" s="4"/>
      <c r="AB14" s="4"/>
      <c r="AC14" s="4"/>
      <c r="AD14" s="4"/>
      <c r="AE14" s="4"/>
      <c r="AF14" s="4"/>
      <c r="AG14" s="4"/>
      <c r="AH14" s="3"/>
      <c r="AI14" s="3"/>
      <c r="AJ14" s="3"/>
    </row>
    <row r="15" spans="1:36" x14ac:dyDescent="0.45">
      <c r="B15" s="76"/>
      <c r="C15" s="191" t="s">
        <v>192</v>
      </c>
      <c r="D15" s="190">
        <v>0</v>
      </c>
      <c r="E15" s="190">
        <v>0</v>
      </c>
      <c r="F15" s="190">
        <v>4</v>
      </c>
      <c r="G15" s="190">
        <v>0</v>
      </c>
      <c r="H15" s="190">
        <v>0</v>
      </c>
      <c r="I15" s="190">
        <v>4</v>
      </c>
      <c r="J15" s="190">
        <v>0</v>
      </c>
      <c r="K15" s="77"/>
      <c r="M15" s="77"/>
      <c r="N15" s="77" t="s">
        <v>27</v>
      </c>
      <c r="O15" s="202">
        <f t="shared" si="11"/>
        <v>0.94569171160608023</v>
      </c>
      <c r="P15" s="202">
        <f t="shared" si="10"/>
        <v>1.0345366841319763</v>
      </c>
      <c r="Q15" s="202">
        <f t="shared" si="10"/>
        <v>1.1562680357001183</v>
      </c>
      <c r="R15" s="202">
        <f t="shared" si="10"/>
        <v>1.0554272012925048</v>
      </c>
      <c r="S15" s="202">
        <f t="shared" si="10"/>
        <v>0.90079981295694078</v>
      </c>
      <c r="T15" s="202">
        <f t="shared" si="10"/>
        <v>1.1617093238103171</v>
      </c>
      <c r="U15" s="202">
        <f t="shared" si="10"/>
        <v>1.1281330104169423</v>
      </c>
      <c r="V15" s="524" t="s">
        <v>75</v>
      </c>
      <c r="W15" s="84"/>
      <c r="X15" s="201"/>
      <c r="Y15" s="201"/>
      <c r="AA15" s="4"/>
      <c r="AB15" s="4"/>
      <c r="AC15" s="4"/>
      <c r="AD15" s="4"/>
      <c r="AE15" s="4"/>
      <c r="AF15" s="4"/>
      <c r="AG15" s="4"/>
      <c r="AH15" s="3"/>
      <c r="AI15" s="3"/>
      <c r="AJ15" s="3"/>
    </row>
    <row r="16" spans="1:36" x14ac:dyDescent="0.45">
      <c r="B16" s="77"/>
      <c r="C16" s="77"/>
      <c r="D16" s="77"/>
      <c r="E16" s="77"/>
      <c r="F16" s="77"/>
      <c r="G16" s="77"/>
      <c r="H16" s="77"/>
      <c r="I16" s="77"/>
      <c r="J16" s="77"/>
      <c r="K16" s="78"/>
      <c r="M16" s="200"/>
      <c r="N16" s="200"/>
      <c r="O16" s="200"/>
      <c r="P16" s="200"/>
      <c r="Q16" s="200"/>
      <c r="R16" s="200"/>
      <c r="S16" s="200"/>
      <c r="T16" s="200"/>
      <c r="U16" s="200"/>
      <c r="V16" s="525"/>
      <c r="W16" s="201"/>
      <c r="X16" s="201"/>
      <c r="Y16" s="201"/>
      <c r="AA16" s="3"/>
      <c r="AB16" s="3"/>
      <c r="AC16" s="3"/>
      <c r="AD16" s="3"/>
      <c r="AE16" s="3"/>
      <c r="AF16" s="3"/>
      <c r="AG16" s="3"/>
      <c r="AH16" s="3"/>
      <c r="AI16" s="3"/>
      <c r="AJ16" s="3"/>
    </row>
    <row r="17" spans="2:36" x14ac:dyDescent="0.45">
      <c r="B17" s="76" t="s">
        <v>181</v>
      </c>
      <c r="C17" s="77" t="s">
        <v>24</v>
      </c>
      <c r="D17" s="77">
        <f>'Data input'!D34</f>
        <v>48</v>
      </c>
      <c r="E17" s="77">
        <f>'Data input'!E34</f>
        <v>48</v>
      </c>
      <c r="F17" s="77">
        <f>'Data input'!F34</f>
        <v>48</v>
      </c>
      <c r="G17" s="77">
        <f>'Data input'!G34</f>
        <v>48</v>
      </c>
      <c r="H17" s="77">
        <f>'Data input'!H34</f>
        <v>48</v>
      </c>
      <c r="I17" s="77">
        <f>'Data input'!I34</f>
        <v>48</v>
      </c>
      <c r="J17" s="77">
        <f>'Data input'!J34</f>
        <v>48</v>
      </c>
      <c r="K17" s="77" t="str">
        <f>'Data input'!K34</f>
        <v>%</v>
      </c>
      <c r="M17" s="76" t="s">
        <v>108</v>
      </c>
      <c r="N17" s="77"/>
      <c r="O17" s="76" t="s">
        <v>109</v>
      </c>
      <c r="P17" s="77"/>
      <c r="Q17" s="77"/>
      <c r="R17" s="77"/>
      <c r="S17" s="77"/>
      <c r="T17" s="77"/>
      <c r="U17" s="77"/>
      <c r="V17" s="524" t="s">
        <v>40</v>
      </c>
      <c r="W17" s="84" t="s">
        <v>110</v>
      </c>
      <c r="X17" s="201" t="s">
        <v>213</v>
      </c>
      <c r="Y17" s="201" t="s">
        <v>759</v>
      </c>
      <c r="AA17" s="3"/>
      <c r="AB17" s="3"/>
      <c r="AC17" s="3"/>
      <c r="AD17" s="3"/>
      <c r="AE17" s="3"/>
      <c r="AF17" s="3"/>
      <c r="AG17" s="3"/>
      <c r="AH17" s="3"/>
      <c r="AI17" s="3"/>
      <c r="AJ17" s="3"/>
    </row>
    <row r="18" spans="2:36" x14ac:dyDescent="0.45">
      <c r="B18" s="76"/>
      <c r="C18" s="77" t="s">
        <v>25</v>
      </c>
      <c r="D18" s="77">
        <f>'Data input'!D35</f>
        <v>56</v>
      </c>
      <c r="E18" s="77">
        <f>'Data input'!E35</f>
        <v>56</v>
      </c>
      <c r="F18" s="77">
        <f>'Data input'!F35</f>
        <v>56</v>
      </c>
      <c r="G18" s="77">
        <f>'Data input'!G35</f>
        <v>56</v>
      </c>
      <c r="H18" s="77">
        <f>'Data input'!H35</f>
        <v>56</v>
      </c>
      <c r="I18" s="77">
        <f>'Data input'!I35</f>
        <v>56</v>
      </c>
      <c r="J18" s="77">
        <f>'Data input'!J35</f>
        <v>56</v>
      </c>
      <c r="K18" s="77" t="str">
        <f>'Data input'!K35</f>
        <v>%</v>
      </c>
      <c r="M18" s="77"/>
      <c r="N18" s="77" t="s">
        <v>24</v>
      </c>
      <c r="O18" s="83">
        <f t="shared" ref="O18:U21" si="12">((0.032*D27)+(0.212-0.008*(O12-2)-((0.14-0.008*(O12-2))/(1+EXP(-6*(D42-0.4)))))*(D37*0.92))/6.25</f>
        <v>5.7868395655454952E-3</v>
      </c>
      <c r="P18" s="83">
        <f t="shared" si="12"/>
        <v>2.8676933621386187E-2</v>
      </c>
      <c r="Q18" s="83">
        <f t="shared" si="12"/>
        <v>2.823821012698224E-2</v>
      </c>
      <c r="R18" s="83">
        <f t="shared" si="12"/>
        <v>1.6917379720272494E-2</v>
      </c>
      <c r="S18" s="83">
        <f t="shared" si="12"/>
        <v>3.1943522386710173E-2</v>
      </c>
      <c r="T18" s="83">
        <f t="shared" si="12"/>
        <v>2.7892082699998676E-2</v>
      </c>
      <c r="U18" s="83">
        <f t="shared" si="12"/>
        <v>2.0536975121010274E-2</v>
      </c>
      <c r="V18" s="524" t="s">
        <v>40</v>
      </c>
      <c r="W18" s="84"/>
      <c r="X18" s="201"/>
      <c r="Y18" s="201"/>
      <c r="AA18" s="3"/>
      <c r="AB18" s="3"/>
      <c r="AC18" s="3"/>
      <c r="AD18" s="3"/>
      <c r="AE18" s="3"/>
      <c r="AF18" s="3"/>
      <c r="AG18" s="3"/>
      <c r="AH18" s="3"/>
      <c r="AI18" s="3"/>
      <c r="AJ18" s="3"/>
    </row>
    <row r="19" spans="2:36" x14ac:dyDescent="0.45">
      <c r="B19" s="76"/>
      <c r="C19" s="77" t="s">
        <v>26</v>
      </c>
      <c r="D19" s="77">
        <f>'Data input'!D36</f>
        <v>53</v>
      </c>
      <c r="E19" s="77">
        <f>'Data input'!E36</f>
        <v>53</v>
      </c>
      <c r="F19" s="77">
        <f>'Data input'!F36</f>
        <v>53</v>
      </c>
      <c r="G19" s="77">
        <f>'Data input'!G36</f>
        <v>53</v>
      </c>
      <c r="H19" s="77">
        <f>'Data input'!H36</f>
        <v>53</v>
      </c>
      <c r="I19" s="77">
        <f>'Data input'!I36</f>
        <v>53</v>
      </c>
      <c r="J19" s="77">
        <f>'Data input'!J36</f>
        <v>53</v>
      </c>
      <c r="K19" s="77" t="str">
        <f>'Data input'!K36</f>
        <v>%</v>
      </c>
      <c r="M19" s="77"/>
      <c r="N19" s="77" t="s">
        <v>25</v>
      </c>
      <c r="O19" s="83">
        <f t="shared" si="12"/>
        <v>6.1976070364613478E-3</v>
      </c>
      <c r="P19" s="83">
        <f t="shared" si="12"/>
        <v>2.2289101439134776E-2</v>
      </c>
      <c r="Q19" s="83">
        <f t="shared" si="12"/>
        <v>2.0059056191859395E-2</v>
      </c>
      <c r="R19" s="83">
        <f t="shared" si="12"/>
        <v>8.1465420877267457E-3</v>
      </c>
      <c r="S19" s="83">
        <f t="shared" si="12"/>
        <v>2.2383081461286359E-2</v>
      </c>
      <c r="T19" s="83">
        <f t="shared" si="12"/>
        <v>1.7926222001524435E-2</v>
      </c>
      <c r="U19" s="83">
        <f t="shared" si="12"/>
        <v>1.5688909940869366E-2</v>
      </c>
      <c r="V19" s="524" t="s">
        <v>40</v>
      </c>
      <c r="W19" s="84"/>
      <c r="X19" s="201"/>
      <c r="Y19" s="201"/>
      <c r="AA19" s="3"/>
      <c r="AB19" s="3"/>
      <c r="AC19" s="3"/>
      <c r="AD19" s="3"/>
      <c r="AE19" s="3"/>
      <c r="AF19" s="3"/>
      <c r="AG19" s="3"/>
      <c r="AH19" s="3"/>
      <c r="AI19" s="3"/>
      <c r="AJ19" s="3"/>
    </row>
    <row r="20" spans="2:36" x14ac:dyDescent="0.45">
      <c r="B20" s="76"/>
      <c r="C20" s="77" t="s">
        <v>27</v>
      </c>
      <c r="D20" s="77">
        <f>'Data input'!D37</f>
        <v>51</v>
      </c>
      <c r="E20" s="77">
        <f>'Data input'!E37</f>
        <v>51</v>
      </c>
      <c r="F20" s="77">
        <f>'Data input'!F37</f>
        <v>51</v>
      </c>
      <c r="G20" s="77">
        <f>'Data input'!G37</f>
        <v>51</v>
      </c>
      <c r="H20" s="77">
        <f>'Data input'!H37</f>
        <v>51</v>
      </c>
      <c r="I20" s="77">
        <f>'Data input'!I37</f>
        <v>51</v>
      </c>
      <c r="J20" s="77">
        <f>'Data input'!J37</f>
        <v>51</v>
      </c>
      <c r="K20" s="77" t="str">
        <f>'Data input'!K37</f>
        <v>%</v>
      </c>
      <c r="M20" s="77"/>
      <c r="N20" s="77" t="s">
        <v>26</v>
      </c>
      <c r="O20" s="83">
        <f t="shared" si="12"/>
        <v>5.7037645983231211E-3</v>
      </c>
      <c r="P20" s="83">
        <f t="shared" si="12"/>
        <v>1.9719004739015954E-2</v>
      </c>
      <c r="Q20" s="83">
        <f t="shared" si="12"/>
        <v>1.1881460879109825E-2</v>
      </c>
      <c r="R20" s="83">
        <f t="shared" si="12"/>
        <v>1.5926784083957694E-3</v>
      </c>
      <c r="S20" s="83">
        <f t="shared" si="12"/>
        <v>-3.8224164411614402E-3</v>
      </c>
      <c r="T20" s="83">
        <f t="shared" si="12"/>
        <v>1.2405877931715612E-2</v>
      </c>
      <c r="U20" s="83">
        <f t="shared" si="12"/>
        <v>8.909225330674014E-3</v>
      </c>
      <c r="V20" s="524" t="s">
        <v>40</v>
      </c>
      <c r="W20" s="84"/>
      <c r="X20" s="201"/>
      <c r="Y20" s="201"/>
      <c r="AA20" s="3"/>
      <c r="AB20" s="3"/>
      <c r="AC20" s="3"/>
      <c r="AD20" s="3"/>
      <c r="AE20" s="3"/>
      <c r="AF20" s="3"/>
      <c r="AG20" s="3"/>
      <c r="AH20" s="3"/>
      <c r="AI20" s="3"/>
      <c r="AJ20" s="3"/>
    </row>
    <row r="21" spans="2:36" x14ac:dyDescent="0.45">
      <c r="B21" s="76"/>
      <c r="C21" s="77"/>
      <c r="D21" s="77"/>
      <c r="E21" s="77"/>
      <c r="F21" s="77"/>
      <c r="G21" s="77"/>
      <c r="H21" s="77"/>
      <c r="I21" s="77"/>
      <c r="J21" s="77"/>
      <c r="K21" s="77"/>
      <c r="M21" s="77"/>
      <c r="N21" s="77" t="s">
        <v>27</v>
      </c>
      <c r="O21" s="83">
        <f t="shared" si="12"/>
        <v>-3.1271677274676917E-3</v>
      </c>
      <c r="P21" s="83">
        <f t="shared" si="12"/>
        <v>2.7974699644047955E-3</v>
      </c>
      <c r="Q21" s="83">
        <f t="shared" si="12"/>
        <v>1.152761935291058E-2</v>
      </c>
      <c r="R21" s="83">
        <f t="shared" si="12"/>
        <v>3.0418313976484424E-3</v>
      </c>
      <c r="S21" s="83">
        <f t="shared" si="12"/>
        <v>-5.3183985214485217E-3</v>
      </c>
      <c r="T21" s="83">
        <f t="shared" si="12"/>
        <v>1.0992180682233706E-2</v>
      </c>
      <c r="U21" s="83">
        <f t="shared" si="12"/>
        <v>8.0938984018466102E-3</v>
      </c>
      <c r="V21" s="524"/>
      <c r="W21" s="84"/>
      <c r="X21" s="201"/>
      <c r="Y21" s="201"/>
      <c r="AA21" s="3"/>
      <c r="AB21" s="3"/>
      <c r="AC21" s="3"/>
      <c r="AD21" s="3"/>
      <c r="AE21" s="3"/>
      <c r="AF21" s="3"/>
      <c r="AG21" s="3"/>
      <c r="AH21" s="3"/>
      <c r="AI21" s="3"/>
      <c r="AJ21" s="3"/>
    </row>
    <row r="22" spans="2:36" x14ac:dyDescent="0.45">
      <c r="B22" s="76" t="s">
        <v>105</v>
      </c>
      <c r="C22" s="77" t="s">
        <v>24</v>
      </c>
      <c r="D22" s="79">
        <f>0.1604*D17-1.037</f>
        <v>6.6621999999999995</v>
      </c>
      <c r="E22" s="79">
        <f t="shared" ref="E22:J22" si="13">0.1604*E17-1.037</f>
        <v>6.6621999999999995</v>
      </c>
      <c r="F22" s="79">
        <f t="shared" si="13"/>
        <v>6.6621999999999995</v>
      </c>
      <c r="G22" s="79">
        <f t="shared" si="13"/>
        <v>6.6621999999999995</v>
      </c>
      <c r="H22" s="79">
        <f t="shared" si="13"/>
        <v>6.6621999999999995</v>
      </c>
      <c r="I22" s="79">
        <f t="shared" si="13"/>
        <v>6.6621999999999995</v>
      </c>
      <c r="J22" s="79">
        <f t="shared" si="13"/>
        <v>6.6621999999999995</v>
      </c>
      <c r="K22" s="79" t="s">
        <v>106</v>
      </c>
      <c r="M22" s="200"/>
      <c r="N22" s="200"/>
      <c r="O22" s="200"/>
      <c r="P22" s="200"/>
      <c r="Q22" s="200"/>
      <c r="R22" s="200"/>
      <c r="S22" s="200"/>
      <c r="T22" s="200"/>
      <c r="U22" s="200"/>
      <c r="V22" s="525"/>
      <c r="W22" s="201"/>
      <c r="X22" s="201"/>
      <c r="Y22" s="201"/>
      <c r="AA22" s="3"/>
      <c r="AB22" s="3"/>
      <c r="AC22" s="3"/>
      <c r="AD22" s="3"/>
      <c r="AE22" s="3"/>
      <c r="AF22" s="3"/>
      <c r="AG22" s="3"/>
      <c r="AH22" s="3"/>
      <c r="AI22" s="3"/>
      <c r="AJ22" s="3"/>
    </row>
    <row r="23" spans="2:36" x14ac:dyDescent="0.45">
      <c r="B23" s="77"/>
      <c r="C23" s="77" t="s">
        <v>25</v>
      </c>
      <c r="D23" s="79">
        <f t="shared" ref="D23:J23" si="14">0.1604*D18-1.037</f>
        <v>7.9453999999999985</v>
      </c>
      <c r="E23" s="79">
        <f t="shared" si="14"/>
        <v>7.9453999999999985</v>
      </c>
      <c r="F23" s="79">
        <f t="shared" si="14"/>
        <v>7.9453999999999985</v>
      </c>
      <c r="G23" s="79">
        <f t="shared" si="14"/>
        <v>7.9453999999999985</v>
      </c>
      <c r="H23" s="79">
        <f t="shared" si="14"/>
        <v>7.9453999999999985</v>
      </c>
      <c r="I23" s="79">
        <f t="shared" si="14"/>
        <v>7.9453999999999985</v>
      </c>
      <c r="J23" s="79">
        <f t="shared" si="14"/>
        <v>7.9453999999999985</v>
      </c>
      <c r="K23" s="79" t="s">
        <v>106</v>
      </c>
      <c r="M23" s="76" t="s">
        <v>103</v>
      </c>
      <c r="N23" s="77"/>
      <c r="O23" s="76" t="s">
        <v>107</v>
      </c>
      <c r="P23" s="77"/>
      <c r="Q23" s="77"/>
      <c r="R23" s="77"/>
      <c r="S23" s="77"/>
      <c r="T23" s="83"/>
      <c r="U23" s="77"/>
      <c r="V23" s="524"/>
      <c r="W23" s="84" t="s">
        <v>104</v>
      </c>
      <c r="X23" s="201" t="s">
        <v>212</v>
      </c>
      <c r="Y23" s="201" t="s">
        <v>759</v>
      </c>
      <c r="AA23" s="3"/>
      <c r="AB23" s="3"/>
      <c r="AC23" s="3"/>
      <c r="AD23" s="3"/>
      <c r="AE23" s="3"/>
      <c r="AF23" s="3"/>
      <c r="AG23" s="3"/>
      <c r="AH23" s="3"/>
      <c r="AI23" s="3"/>
      <c r="AJ23" s="3"/>
    </row>
    <row r="24" spans="2:36" x14ac:dyDescent="0.45">
      <c r="B24" s="77"/>
      <c r="C24" s="77" t="s">
        <v>26</v>
      </c>
      <c r="D24" s="79">
        <f t="shared" ref="D24:J24" si="15">0.1604*D19-1.037</f>
        <v>7.4641999999999991</v>
      </c>
      <c r="E24" s="79">
        <f t="shared" si="15"/>
        <v>7.4641999999999991</v>
      </c>
      <c r="F24" s="79">
        <f t="shared" si="15"/>
        <v>7.4641999999999991</v>
      </c>
      <c r="G24" s="79">
        <f t="shared" si="15"/>
        <v>7.4641999999999991</v>
      </c>
      <c r="H24" s="79">
        <f t="shared" si="15"/>
        <v>7.4641999999999991</v>
      </c>
      <c r="I24" s="79">
        <f t="shared" si="15"/>
        <v>7.4641999999999991</v>
      </c>
      <c r="J24" s="79">
        <f t="shared" si="15"/>
        <v>7.4641999999999991</v>
      </c>
      <c r="K24" s="79" t="s">
        <v>106</v>
      </c>
      <c r="M24" s="77"/>
      <c r="N24" s="77" t="s">
        <v>24</v>
      </c>
      <c r="O24" s="83">
        <f>((0.3*(O6*((1-((D17+10)/100))))+(0.105*(D22*D5*0.008))+(0.08*(0.032*D$14))+(0.0152*D5))/6.25)</f>
        <v>4.3569265816326072E-2</v>
      </c>
      <c r="P24" s="83">
        <f t="shared" ref="P24:U27" si="16">((0.3*(P6*((1-((E17+10)/100))))+(0.105*(E22*E5*0.008))+(0.08*(0.032*E$14))+(0.0152*E5))/6.25)</f>
        <v>1.4410915222369607E-2</v>
      </c>
      <c r="Q24" s="83">
        <f t="shared" si="16"/>
        <v>1.4727931476565757E-2</v>
      </c>
      <c r="R24" s="83">
        <f t="shared" si="16"/>
        <v>2.8549607969157113E-2</v>
      </c>
      <c r="S24" s="83">
        <f t="shared" si="16"/>
        <v>4.492896913106488E-2</v>
      </c>
      <c r="T24" s="83">
        <f t="shared" si="16"/>
        <v>1.4410915222369607E-2</v>
      </c>
      <c r="U24" s="83">
        <f t="shared" si="16"/>
        <v>2.7247268309224523E-2</v>
      </c>
      <c r="V24" s="524" t="s">
        <v>40</v>
      </c>
      <c r="W24" s="84"/>
      <c r="X24" s="201"/>
      <c r="Y24" s="201"/>
      <c r="AA24" s="3"/>
      <c r="AB24" s="3"/>
      <c r="AC24" s="3"/>
      <c r="AD24" s="3"/>
      <c r="AE24" s="3"/>
      <c r="AF24" s="3"/>
      <c r="AG24" s="3"/>
      <c r="AH24" s="3"/>
      <c r="AI24" s="3"/>
      <c r="AJ24" s="3"/>
    </row>
    <row r="25" spans="2:36" x14ac:dyDescent="0.45">
      <c r="B25" s="77"/>
      <c r="C25" s="77" t="s">
        <v>27</v>
      </c>
      <c r="D25" s="79">
        <f t="shared" ref="D25:J25" si="17">0.1604*D20-1.037</f>
        <v>7.1433999999999989</v>
      </c>
      <c r="E25" s="79">
        <f t="shared" si="17"/>
        <v>7.1433999999999989</v>
      </c>
      <c r="F25" s="79">
        <f t="shared" si="17"/>
        <v>7.1433999999999989</v>
      </c>
      <c r="G25" s="79">
        <f t="shared" si="17"/>
        <v>7.1433999999999989</v>
      </c>
      <c r="H25" s="79">
        <f t="shared" si="17"/>
        <v>7.1433999999999989</v>
      </c>
      <c r="I25" s="79">
        <f t="shared" si="17"/>
        <v>7.1433999999999989</v>
      </c>
      <c r="J25" s="79">
        <f t="shared" si="17"/>
        <v>7.1433999999999989</v>
      </c>
      <c r="K25" s="79" t="s">
        <v>106</v>
      </c>
      <c r="M25" s="77"/>
      <c r="N25" s="77" t="s">
        <v>25</v>
      </c>
      <c r="O25" s="83">
        <f>((0.3*(O7*((1-((D18+10)/100))))+(0.105*(D23*D6*0.008))+(0.08*(0.032*D$15))+(0.0152*D6))/6.25)</f>
        <v>5.7689436100584218E-2</v>
      </c>
      <c r="P25" s="83">
        <f t="shared" ref="P25:U25" si="18">((0.3*(P7*((1-((E18+10)/100))))+(0.105*(E23*E6*0.008))+(0.08*(0.032*E$15))+(0.0152*E6))/6.25)</f>
        <v>2.2596833006430572E-2</v>
      </c>
      <c r="Q25" s="83">
        <f t="shared" si="18"/>
        <v>2.6798987279556968E-2</v>
      </c>
      <c r="R25" s="83">
        <f t="shared" si="18"/>
        <v>3.6590605930205994E-2</v>
      </c>
      <c r="S25" s="83">
        <f t="shared" si="18"/>
        <v>5.1687665501572291E-2</v>
      </c>
      <c r="T25" s="83">
        <f t="shared" si="18"/>
        <v>2.5572509652860616E-2</v>
      </c>
      <c r="U25" s="83">
        <f t="shared" si="18"/>
        <v>3.4837402707935984E-2</v>
      </c>
      <c r="V25" s="524" t="s">
        <v>40</v>
      </c>
      <c r="W25" s="84"/>
      <c r="X25" s="201"/>
      <c r="Y25" s="201"/>
      <c r="AA25" s="3"/>
      <c r="AB25" s="3"/>
      <c r="AC25" s="3"/>
      <c r="AD25" s="3"/>
      <c r="AE25" s="3"/>
      <c r="AF25" s="3"/>
      <c r="AG25" s="3"/>
      <c r="AH25" s="3"/>
      <c r="AI25" s="3"/>
      <c r="AJ25" s="3"/>
    </row>
    <row r="26" spans="2:36" x14ac:dyDescent="0.45">
      <c r="B26" s="77"/>
      <c r="C26" s="77"/>
      <c r="D26" s="77"/>
      <c r="E26" s="77"/>
      <c r="F26" s="77"/>
      <c r="G26" s="77"/>
      <c r="H26" s="77"/>
      <c r="I26" s="77"/>
      <c r="J26" s="77"/>
      <c r="K26" s="77"/>
      <c r="M26" s="77"/>
      <c r="N26" s="77" t="s">
        <v>26</v>
      </c>
      <c r="O26" s="83">
        <f>((0.3*(O8*((1-((D19+10)/100))))+(0.105*(D24*D7*0.008))+(0.08*(0.032*D$15))+(0.0152*D7))/6.25)</f>
        <v>4.9945256180582216E-2</v>
      </c>
      <c r="P26" s="83">
        <f t="shared" ref="P26" si="19">((0.3*(P8*((1-((E19+10)/100))))+(0.105*(E24*E7*0.008))+(0.08*(0.032*E$15))+(0.0152*E7))/6.25)</f>
        <v>2.3297511011582565E-2</v>
      </c>
      <c r="Q26" s="83">
        <f t="shared" ref="Q26" si="20">((0.3*(Q8*((1-((F19+10)/100))))+(0.105*(F24*F7*0.008))+(0.08*(0.032*F$15))+(0.0152*F7))/6.25)</f>
        <v>2.652246491510498E-2</v>
      </c>
      <c r="R26" s="83">
        <f t="shared" ref="R26" si="21">((0.3*(R8*((1-((G19+10)/100))))+(0.105*(G24*G7*0.008))+(0.08*(0.032*G$15))+(0.0152*G7))/6.25)</f>
        <v>2.9641062703650415E-2</v>
      </c>
      <c r="S26" s="83">
        <f t="shared" ref="S26" si="22">((0.3*(S8*((1-((H19+10)/100))))+(0.105*(H24*H7*0.008))+(0.08*(0.032*H$15))+(0.0152*H7))/6.25)</f>
        <v>3.4131983639804894E-2</v>
      </c>
      <c r="T26" s="83">
        <f t="shared" ref="T26" si="23">((0.3*(T8*((1-((I19+10)/100))))+(0.105*(I24*I7*0.008))+(0.08*(0.032*I$15))+(0.0152*I7))/6.25)</f>
        <v>2.5784666912655275E-2</v>
      </c>
      <c r="U26" s="83">
        <f t="shared" ref="U26" si="24">((0.3*(U8*((1-((J19+10)/100))))+(0.105*(J24*J7*0.008))+(0.08*(0.032*J$15))+(0.0152*J7))/6.25)</f>
        <v>3.1275106949944557E-2</v>
      </c>
      <c r="V26" s="524" t="s">
        <v>40</v>
      </c>
      <c r="W26" s="84"/>
      <c r="X26" s="201"/>
      <c r="Y26" s="201"/>
      <c r="AA26" s="3"/>
      <c r="AB26" s="3"/>
      <c r="AC26" s="3"/>
      <c r="AD26" s="3"/>
      <c r="AE26" s="3"/>
      <c r="AF26" s="3"/>
      <c r="AG26" s="3"/>
      <c r="AH26" s="3"/>
      <c r="AI26" s="3"/>
      <c r="AJ26" s="3"/>
    </row>
    <row r="27" spans="2:36" x14ac:dyDescent="0.45">
      <c r="B27" s="76" t="s">
        <v>111</v>
      </c>
      <c r="C27" s="77" t="s">
        <v>24</v>
      </c>
      <c r="D27" s="77">
        <v>0</v>
      </c>
      <c r="E27" s="77">
        <v>0</v>
      </c>
      <c r="F27" s="77">
        <v>0</v>
      </c>
      <c r="G27" s="77">
        <v>0</v>
      </c>
      <c r="H27" s="77">
        <f>'Data input'!H105*'Data input'!G105</f>
        <v>5.0999999999999996</v>
      </c>
      <c r="I27" s="77">
        <v>0</v>
      </c>
      <c r="J27" s="77">
        <v>0</v>
      </c>
      <c r="K27" s="77" t="s">
        <v>40</v>
      </c>
      <c r="M27" s="77"/>
      <c r="N27" s="77" t="s">
        <v>27</v>
      </c>
      <c r="O27" s="83">
        <f t="shared" ref="O27" si="25">((0.3*(O9*((1-((D20+10)/100))))+(0.105*(D25*D8*0.008))+(0.08*(0.032*D$14))+(0.0152*D8))/6.25)</f>
        <v>3.9899919278304344E-2</v>
      </c>
      <c r="P27" s="83">
        <f t="shared" si="16"/>
        <v>1.8734492993396201E-2</v>
      </c>
      <c r="Q27" s="83">
        <f t="shared" si="16"/>
        <v>2.2368008556143647E-2</v>
      </c>
      <c r="R27" s="83">
        <f t="shared" si="16"/>
        <v>2.9983932454219913E-2</v>
      </c>
      <c r="S27" s="83">
        <f t="shared" si="16"/>
        <v>2.9538384550471669E-2</v>
      </c>
      <c r="T27" s="83">
        <f t="shared" si="16"/>
        <v>2.1037470706559286E-2</v>
      </c>
      <c r="U27" s="83">
        <f t="shared" si="16"/>
        <v>3.2049452527178848E-2</v>
      </c>
      <c r="V27" s="524" t="s">
        <v>40</v>
      </c>
      <c r="W27" s="84"/>
      <c r="X27" s="201"/>
      <c r="Y27" s="201"/>
      <c r="AA27" s="3"/>
      <c r="AB27" s="3"/>
      <c r="AC27" s="3"/>
      <c r="AD27" s="3"/>
      <c r="AE27" s="3"/>
      <c r="AF27" s="3"/>
      <c r="AG27" s="3"/>
      <c r="AH27" s="3"/>
      <c r="AI27" s="3"/>
      <c r="AJ27" s="3"/>
    </row>
    <row r="28" spans="2:36" x14ac:dyDescent="0.45">
      <c r="B28" s="77"/>
      <c r="C28" s="77" t="s">
        <v>25</v>
      </c>
      <c r="D28" s="77">
        <v>0</v>
      </c>
      <c r="E28" s="77">
        <v>0</v>
      </c>
      <c r="F28" s="77">
        <v>0</v>
      </c>
      <c r="G28" s="77">
        <v>0</v>
      </c>
      <c r="H28" s="77">
        <f>'Data input'!H106*'Data input'!G106</f>
        <v>3.4</v>
      </c>
      <c r="I28" s="77">
        <v>0</v>
      </c>
      <c r="J28" s="77">
        <v>0</v>
      </c>
      <c r="K28" s="77" t="s">
        <v>40</v>
      </c>
      <c r="M28" s="77"/>
      <c r="N28" s="77"/>
      <c r="O28" s="77"/>
      <c r="P28" s="77"/>
      <c r="Q28" s="77"/>
      <c r="R28" s="77"/>
      <c r="S28" s="77"/>
      <c r="T28" s="77"/>
      <c r="U28" s="77"/>
      <c r="V28" s="524"/>
      <c r="W28" s="84"/>
      <c r="X28" s="201"/>
      <c r="Y28" s="201"/>
      <c r="AA28" s="3"/>
      <c r="AB28" s="3"/>
      <c r="AC28" s="3"/>
      <c r="AD28" s="3"/>
      <c r="AE28" s="3"/>
      <c r="AF28" s="3"/>
      <c r="AG28" s="3"/>
      <c r="AH28" s="3"/>
      <c r="AI28" s="3"/>
      <c r="AJ28" s="3"/>
    </row>
    <row r="29" spans="2:36" x14ac:dyDescent="0.45">
      <c r="B29" s="77"/>
      <c r="C29" s="77" t="s">
        <v>26</v>
      </c>
      <c r="D29" s="77">
        <v>0</v>
      </c>
      <c r="E29" s="77">
        <v>0</v>
      </c>
      <c r="F29" s="77">
        <v>0</v>
      </c>
      <c r="G29" s="77">
        <v>0</v>
      </c>
      <c r="H29" s="77">
        <f>'Data input'!H107*'Data input'!G107</f>
        <v>0</v>
      </c>
      <c r="I29" s="77">
        <v>0</v>
      </c>
      <c r="J29" s="77">
        <v>0</v>
      </c>
      <c r="K29" s="77" t="s">
        <v>40</v>
      </c>
      <c r="M29" s="77"/>
      <c r="N29" s="77"/>
      <c r="O29" s="77"/>
      <c r="P29" s="77"/>
      <c r="Q29" s="77"/>
      <c r="R29" s="77"/>
      <c r="S29" s="77"/>
      <c r="T29" s="77"/>
      <c r="U29" s="77"/>
      <c r="V29" s="524"/>
      <c r="W29" s="84"/>
      <c r="X29" s="201"/>
      <c r="Y29" s="201"/>
      <c r="AA29" s="3"/>
      <c r="AB29" s="3"/>
      <c r="AC29" s="3"/>
      <c r="AD29" s="3"/>
      <c r="AE29" s="3"/>
      <c r="AF29" s="3"/>
      <c r="AG29" s="3"/>
      <c r="AH29" s="3"/>
      <c r="AI29" s="3"/>
      <c r="AJ29" s="3"/>
    </row>
    <row r="30" spans="2:36" x14ac:dyDescent="0.45">
      <c r="B30" s="77"/>
      <c r="C30" s="77" t="s">
        <v>27</v>
      </c>
      <c r="D30" s="77">
        <v>0</v>
      </c>
      <c r="E30" s="77">
        <v>0</v>
      </c>
      <c r="F30" s="77">
        <v>0</v>
      </c>
      <c r="G30" s="77">
        <v>0</v>
      </c>
      <c r="H30" s="77">
        <f>'Data input'!H108*'Data input'!G108</f>
        <v>0</v>
      </c>
      <c r="I30" s="77">
        <v>0</v>
      </c>
      <c r="J30" s="77">
        <v>0</v>
      </c>
      <c r="K30" s="77" t="s">
        <v>40</v>
      </c>
      <c r="M30" s="77"/>
      <c r="N30" s="81" t="s">
        <v>50</v>
      </c>
      <c r="O30" s="529" t="s">
        <v>4</v>
      </c>
      <c r="P30" s="529" t="s">
        <v>44</v>
      </c>
      <c r="Q30" s="529" t="s">
        <v>45</v>
      </c>
      <c r="R30" s="529" t="s">
        <v>5</v>
      </c>
      <c r="S30" s="529" t="s">
        <v>6</v>
      </c>
      <c r="T30" s="529" t="s">
        <v>48</v>
      </c>
      <c r="U30" s="529" t="s">
        <v>49</v>
      </c>
      <c r="V30" s="528"/>
      <c r="W30" s="84" t="s">
        <v>113</v>
      </c>
      <c r="X30" s="201" t="s">
        <v>218</v>
      </c>
      <c r="Y30" s="201" t="s">
        <v>759</v>
      </c>
      <c r="AA30" s="3"/>
      <c r="AB30" s="3"/>
      <c r="AC30" s="3"/>
      <c r="AD30" s="3"/>
      <c r="AE30" s="3"/>
      <c r="AF30" s="3"/>
      <c r="AG30" s="3"/>
      <c r="AH30" s="3"/>
      <c r="AI30" s="3"/>
      <c r="AJ30" s="3"/>
    </row>
    <row r="31" spans="2:36" x14ac:dyDescent="0.45">
      <c r="B31" s="77"/>
      <c r="C31" s="77"/>
      <c r="D31" s="77"/>
      <c r="E31" s="77"/>
      <c r="F31" s="77"/>
      <c r="G31" s="77"/>
      <c r="H31" s="77"/>
      <c r="I31" s="77"/>
      <c r="J31" s="77"/>
      <c r="K31" s="77"/>
      <c r="M31" s="77"/>
      <c r="N31" s="82" t="s">
        <v>469</v>
      </c>
      <c r="O31" s="524">
        <v>700</v>
      </c>
      <c r="P31" s="524">
        <v>700</v>
      </c>
      <c r="Q31" s="524">
        <v>600</v>
      </c>
      <c r="R31" s="524">
        <v>500</v>
      </c>
      <c r="S31" s="524">
        <v>500</v>
      </c>
      <c r="T31" s="524">
        <v>500</v>
      </c>
      <c r="U31" s="524">
        <v>600</v>
      </c>
      <c r="V31" s="527" t="s">
        <v>70</v>
      </c>
      <c r="W31" s="84"/>
      <c r="X31" s="201"/>
      <c r="Y31" s="201"/>
      <c r="AA31" s="3"/>
      <c r="AB31" s="3"/>
      <c r="AC31" s="3"/>
      <c r="AD31" s="3"/>
      <c r="AE31" s="3"/>
      <c r="AF31" s="3"/>
      <c r="AG31" s="3"/>
      <c r="AH31" s="3"/>
      <c r="AI31" s="3"/>
      <c r="AJ31" s="3"/>
    </row>
    <row r="32" spans="2:36" x14ac:dyDescent="0.45">
      <c r="B32" s="76" t="s">
        <v>73</v>
      </c>
      <c r="C32" s="77" t="s">
        <v>24</v>
      </c>
      <c r="D32" s="77">
        <f>'Data input'!D16</f>
        <v>700</v>
      </c>
      <c r="E32" s="77">
        <f>'Data input'!E16</f>
        <v>85</v>
      </c>
      <c r="F32" s="77">
        <f>'Data input'!F16</f>
        <v>90</v>
      </c>
      <c r="G32" s="77">
        <f>'Data input'!G16</f>
        <v>300</v>
      </c>
      <c r="H32" s="77">
        <f>'Data input'!H16</f>
        <v>490</v>
      </c>
      <c r="I32" s="77">
        <f>'Data input'!I16</f>
        <v>85</v>
      </c>
      <c r="J32" s="77">
        <f>'Data input'!J16</f>
        <v>280</v>
      </c>
      <c r="K32" s="77" t="str">
        <f>'Data input'!K16</f>
        <v>kg/head</v>
      </c>
      <c r="M32" s="77"/>
      <c r="N32" s="82" t="s">
        <v>474</v>
      </c>
      <c r="O32" s="524">
        <v>700</v>
      </c>
      <c r="P32" s="524">
        <v>700</v>
      </c>
      <c r="Q32" s="524">
        <v>600</v>
      </c>
      <c r="R32" s="524">
        <v>500</v>
      </c>
      <c r="S32" s="524">
        <v>500</v>
      </c>
      <c r="T32" s="524">
        <v>500</v>
      </c>
      <c r="U32" s="524">
        <v>600</v>
      </c>
      <c r="V32" s="527" t="s">
        <v>70</v>
      </c>
      <c r="W32" s="84"/>
      <c r="X32" s="201"/>
      <c r="Y32" s="201"/>
      <c r="AA32" s="3"/>
      <c r="AB32" s="3"/>
      <c r="AC32" s="3"/>
      <c r="AD32" s="3"/>
      <c r="AE32" s="3"/>
      <c r="AF32" s="3"/>
      <c r="AG32" s="3"/>
      <c r="AH32" s="3"/>
      <c r="AI32" s="3"/>
      <c r="AJ32" s="3"/>
    </row>
    <row r="33" spans="2:25" x14ac:dyDescent="0.45">
      <c r="B33" s="77"/>
      <c r="C33" s="77" t="s">
        <v>25</v>
      </c>
      <c r="D33" s="77">
        <f>'Data input'!D17</f>
        <v>750</v>
      </c>
      <c r="E33" s="77">
        <f>'Data input'!E17</f>
        <v>150</v>
      </c>
      <c r="F33" s="77">
        <f>'Data input'!F17</f>
        <v>160</v>
      </c>
      <c r="G33" s="77">
        <f>'Data input'!G17</f>
        <v>350</v>
      </c>
      <c r="H33" s="77">
        <f>'Data input'!H17</f>
        <v>530</v>
      </c>
      <c r="I33" s="77">
        <f>'Data input'!I17</f>
        <v>150</v>
      </c>
      <c r="J33" s="77">
        <f>'Data input'!J17</f>
        <v>300</v>
      </c>
      <c r="K33" s="77" t="str">
        <f>'Data input'!K17</f>
        <v>kg/head</v>
      </c>
      <c r="M33" s="77"/>
      <c r="N33" s="82" t="s">
        <v>390</v>
      </c>
      <c r="O33" s="524">
        <v>770</v>
      </c>
      <c r="P33" s="524">
        <v>770</v>
      </c>
      <c r="Q33" s="524">
        <v>660</v>
      </c>
      <c r="R33" s="524">
        <v>550</v>
      </c>
      <c r="S33" s="524">
        <v>550</v>
      </c>
      <c r="T33" s="524">
        <v>550</v>
      </c>
      <c r="U33" s="524">
        <v>660</v>
      </c>
      <c r="V33" s="527" t="s">
        <v>70</v>
      </c>
      <c r="W33" s="84"/>
      <c r="X33" s="201"/>
      <c r="Y33" s="201"/>
    </row>
    <row r="34" spans="2:25" x14ac:dyDescent="0.45">
      <c r="B34" s="77"/>
      <c r="C34" s="77" t="s">
        <v>26</v>
      </c>
      <c r="D34" s="77">
        <f>'Data input'!D18</f>
        <v>725</v>
      </c>
      <c r="E34" s="77">
        <f>'Data input'!E18</f>
        <v>200</v>
      </c>
      <c r="F34" s="77">
        <f>'Data input'!F18</f>
        <v>215</v>
      </c>
      <c r="G34" s="77">
        <f>'Data input'!G18</f>
        <v>360</v>
      </c>
      <c r="H34" s="77">
        <f>'Data input'!H18</f>
        <v>500</v>
      </c>
      <c r="I34" s="77">
        <f>'Data input'!I18</f>
        <v>200</v>
      </c>
      <c r="J34" s="77">
        <f>'Data input'!J18</f>
        <v>340</v>
      </c>
      <c r="K34" s="77" t="str">
        <f>'Data input'!K18</f>
        <v>kg/head</v>
      </c>
      <c r="M34" s="77"/>
      <c r="N34" s="82" t="s">
        <v>177</v>
      </c>
      <c r="O34" s="524">
        <v>770</v>
      </c>
      <c r="P34" s="524">
        <v>770</v>
      </c>
      <c r="Q34" s="524">
        <v>660</v>
      </c>
      <c r="R34" s="524">
        <v>550</v>
      </c>
      <c r="S34" s="524">
        <v>550</v>
      </c>
      <c r="T34" s="524">
        <v>550</v>
      </c>
      <c r="U34" s="524">
        <v>660</v>
      </c>
      <c r="V34" s="527" t="s">
        <v>70</v>
      </c>
      <c r="W34" s="84"/>
      <c r="X34" s="201"/>
      <c r="Y34" s="201"/>
    </row>
    <row r="35" spans="2:25" x14ac:dyDescent="0.45">
      <c r="B35" s="77"/>
      <c r="C35" s="77" t="s">
        <v>27</v>
      </c>
      <c r="D35" s="77">
        <f>'Data input'!D19</f>
        <v>700</v>
      </c>
      <c r="E35" s="77">
        <f>'Data input'!E19</f>
        <v>210</v>
      </c>
      <c r="F35" s="77">
        <f>'Data input'!F19</f>
        <v>230</v>
      </c>
      <c r="G35" s="77">
        <f>'Data input'!G19</f>
        <v>380</v>
      </c>
      <c r="H35" s="77">
        <f>'Data input'!H19</f>
        <v>460</v>
      </c>
      <c r="I35" s="77">
        <f>'Data input'!I19</f>
        <v>210</v>
      </c>
      <c r="J35" s="77">
        <f>'Data input'!J19</f>
        <v>380</v>
      </c>
      <c r="K35" s="77" t="str">
        <f>'Data input'!K19</f>
        <v>kg/head</v>
      </c>
      <c r="M35" s="77"/>
      <c r="N35" s="82" t="s">
        <v>53</v>
      </c>
      <c r="O35" s="524">
        <v>770</v>
      </c>
      <c r="P35" s="524">
        <v>770</v>
      </c>
      <c r="Q35" s="524">
        <v>660</v>
      </c>
      <c r="R35" s="524">
        <v>550</v>
      </c>
      <c r="S35" s="524">
        <v>550</v>
      </c>
      <c r="T35" s="524">
        <v>550</v>
      </c>
      <c r="U35" s="524">
        <v>660</v>
      </c>
      <c r="V35" s="527" t="s">
        <v>70</v>
      </c>
      <c r="W35" s="84"/>
      <c r="X35" s="201"/>
      <c r="Y35" s="201"/>
    </row>
    <row r="36" spans="2:25" x14ac:dyDescent="0.45">
      <c r="B36" s="77"/>
      <c r="C36" s="77"/>
      <c r="D36" s="77"/>
      <c r="E36" s="77"/>
      <c r="F36" s="77"/>
      <c r="G36" s="77"/>
      <c r="H36" s="77"/>
      <c r="I36" s="77"/>
      <c r="J36" s="77"/>
      <c r="K36" s="77"/>
      <c r="M36" s="77"/>
      <c r="N36" s="82" t="s">
        <v>391</v>
      </c>
      <c r="O36" s="524">
        <v>770</v>
      </c>
      <c r="P36" s="524">
        <v>770</v>
      </c>
      <c r="Q36" s="524">
        <v>660</v>
      </c>
      <c r="R36" s="524">
        <v>550</v>
      </c>
      <c r="S36" s="524">
        <v>550</v>
      </c>
      <c r="T36" s="524">
        <v>550</v>
      </c>
      <c r="U36" s="524">
        <v>660</v>
      </c>
      <c r="V36" s="527" t="s">
        <v>70</v>
      </c>
      <c r="W36" s="84"/>
      <c r="X36" s="201"/>
      <c r="Y36" s="201"/>
    </row>
    <row r="37" spans="2:25" x14ac:dyDescent="0.45">
      <c r="B37" s="76" t="s">
        <v>182</v>
      </c>
      <c r="C37" s="77" t="s">
        <v>24</v>
      </c>
      <c r="D37" s="77">
        <f>'Data input'!D22</f>
        <v>0.5</v>
      </c>
      <c r="E37" s="77">
        <f>'Data input'!E22</f>
        <v>1</v>
      </c>
      <c r="F37" s="77">
        <f>'Data input'!F22</f>
        <v>1</v>
      </c>
      <c r="G37" s="77">
        <f>'Data input'!G22</f>
        <v>1</v>
      </c>
      <c r="H37" s="77">
        <f>'Data input'!H22</f>
        <v>0.5</v>
      </c>
      <c r="I37" s="77">
        <f>'Data input'!I22</f>
        <v>1</v>
      </c>
      <c r="J37" s="77">
        <f>'Data input'!J22</f>
        <v>1</v>
      </c>
      <c r="K37" s="77" t="str">
        <f>'Data input'!K22</f>
        <v>kg/day</v>
      </c>
      <c r="M37" s="77"/>
      <c r="N37" s="82" t="s">
        <v>470</v>
      </c>
      <c r="O37" s="524">
        <v>770</v>
      </c>
      <c r="P37" s="524">
        <v>770</v>
      </c>
      <c r="Q37" s="524">
        <v>660</v>
      </c>
      <c r="R37" s="524">
        <v>550</v>
      </c>
      <c r="S37" s="524">
        <v>550</v>
      </c>
      <c r="T37" s="524">
        <v>550</v>
      </c>
      <c r="U37" s="524">
        <v>660</v>
      </c>
      <c r="V37" s="527" t="s">
        <v>70</v>
      </c>
      <c r="W37" s="84"/>
      <c r="X37" s="201"/>
      <c r="Y37" s="201"/>
    </row>
    <row r="38" spans="2:25" x14ac:dyDescent="0.45">
      <c r="B38" s="77"/>
      <c r="C38" s="77" t="s">
        <v>25</v>
      </c>
      <c r="D38" s="77">
        <f>'Data input'!D23</f>
        <v>0.55000000000000004</v>
      </c>
      <c r="E38" s="77">
        <f>'Data input'!E23</f>
        <v>0.82</v>
      </c>
      <c r="F38" s="77">
        <f>'Data input'!F23</f>
        <v>0.77</v>
      </c>
      <c r="G38" s="77">
        <f>'Data input'!G23</f>
        <v>0.55000000000000004</v>
      </c>
      <c r="H38" s="77">
        <f>'Data input'!H23</f>
        <v>0.44</v>
      </c>
      <c r="I38" s="77">
        <f>'Data input'!I23</f>
        <v>0.71</v>
      </c>
      <c r="J38" s="77">
        <f>'Data input'!J23</f>
        <v>0.8</v>
      </c>
      <c r="K38" s="77" t="str">
        <f>'Data input'!K23</f>
        <v>kg/day</v>
      </c>
      <c r="M38" s="77"/>
      <c r="N38" s="82" t="s">
        <v>54</v>
      </c>
      <c r="O38" s="524">
        <v>770</v>
      </c>
      <c r="P38" s="524">
        <v>770</v>
      </c>
      <c r="Q38" s="524">
        <v>660</v>
      </c>
      <c r="R38" s="524">
        <v>550</v>
      </c>
      <c r="S38" s="524">
        <v>550</v>
      </c>
      <c r="T38" s="524">
        <v>550</v>
      </c>
      <c r="U38" s="524">
        <v>660</v>
      </c>
      <c r="V38" s="527" t="s">
        <v>70</v>
      </c>
      <c r="W38" s="84"/>
      <c r="X38" s="201"/>
      <c r="Y38" s="201"/>
    </row>
    <row r="39" spans="2:25" x14ac:dyDescent="0.45">
      <c r="B39" s="77"/>
      <c r="C39" s="77" t="s">
        <v>26</v>
      </c>
      <c r="D39" s="77">
        <f>'Data input'!D24</f>
        <v>0.5</v>
      </c>
      <c r="E39" s="77">
        <f>'Data input'!E24</f>
        <v>0.77</v>
      </c>
      <c r="F39" s="77">
        <f>'Data input'!F24</f>
        <v>0.5</v>
      </c>
      <c r="G39" s="77">
        <f>'Data input'!G24</f>
        <v>0.11</v>
      </c>
      <c r="H39" s="77">
        <f>'Data input'!H24</f>
        <v>-0.33</v>
      </c>
      <c r="I39" s="77">
        <f>'Data input'!I24</f>
        <v>0.55000000000000004</v>
      </c>
      <c r="J39" s="77">
        <f>'Data input'!J24</f>
        <v>0.5</v>
      </c>
      <c r="K39" s="77" t="str">
        <f>'Data input'!K24</f>
        <v>kg/day</v>
      </c>
      <c r="M39" s="77"/>
      <c r="N39" s="82" t="s">
        <v>751</v>
      </c>
      <c r="O39" s="524">
        <v>770</v>
      </c>
      <c r="P39" s="524">
        <v>770</v>
      </c>
      <c r="Q39" s="524">
        <v>660</v>
      </c>
      <c r="R39" s="524">
        <v>550</v>
      </c>
      <c r="S39" s="524">
        <v>550</v>
      </c>
      <c r="T39" s="524">
        <v>550</v>
      </c>
      <c r="U39" s="524">
        <v>660</v>
      </c>
      <c r="V39" s="527" t="s">
        <v>70</v>
      </c>
      <c r="W39" s="84"/>
      <c r="X39" s="201"/>
      <c r="Y39" s="201"/>
    </row>
    <row r="40" spans="2:25" x14ac:dyDescent="0.45">
      <c r="B40" s="77"/>
      <c r="C40" s="77" t="s">
        <v>27</v>
      </c>
      <c r="D40" s="77">
        <f>'Data input'!D25</f>
        <v>-0.27</v>
      </c>
      <c r="E40" s="77">
        <f>'Data input'!E25</f>
        <v>0.11</v>
      </c>
      <c r="F40" s="77">
        <f>'Data input'!F25</f>
        <v>0.5</v>
      </c>
      <c r="G40" s="77">
        <f>'Data input'!G25</f>
        <v>0.22</v>
      </c>
      <c r="H40" s="77">
        <f>'Data input'!H25</f>
        <v>-0.44</v>
      </c>
      <c r="I40" s="77">
        <f>'Data input'!I25</f>
        <v>0.5</v>
      </c>
      <c r="J40" s="77">
        <f>'Data input'!J25</f>
        <v>0.5</v>
      </c>
      <c r="K40" s="77" t="str">
        <f>'Data input'!K25</f>
        <v>kg/day</v>
      </c>
      <c r="M40" s="77"/>
      <c r="N40" s="82" t="s">
        <v>752</v>
      </c>
      <c r="O40" s="524">
        <v>770</v>
      </c>
      <c r="P40" s="524">
        <v>770</v>
      </c>
      <c r="Q40" s="524">
        <v>660</v>
      </c>
      <c r="R40" s="524">
        <v>550</v>
      </c>
      <c r="S40" s="524">
        <v>550</v>
      </c>
      <c r="T40" s="524">
        <v>550</v>
      </c>
      <c r="U40" s="524">
        <v>660</v>
      </c>
      <c r="V40" s="527" t="s">
        <v>70</v>
      </c>
      <c r="W40" s="84"/>
      <c r="X40" s="201"/>
      <c r="Y40" s="201"/>
    </row>
    <row r="41" spans="2:25" x14ac:dyDescent="0.45">
      <c r="B41" s="77"/>
      <c r="C41" s="77"/>
      <c r="D41" s="77"/>
      <c r="E41" s="77"/>
      <c r="F41" s="77"/>
      <c r="G41" s="77"/>
      <c r="H41" s="77"/>
      <c r="I41" s="77"/>
      <c r="J41" s="77"/>
      <c r="K41" s="77"/>
      <c r="M41" s="77"/>
      <c r="N41" s="81" t="str">
        <f>'Electicity, Gas &amp; Diesel'!L14</f>
        <v>Tas</v>
      </c>
      <c r="O41" s="529">
        <f>INDEX(O31:O40,MATCH(N41,N31:N40,0))</f>
        <v>770</v>
      </c>
      <c r="P41" s="529">
        <f>INDEX(P31:P40,MATCH(N41,N31:N40,0))</f>
        <v>770</v>
      </c>
      <c r="Q41" s="529">
        <f>INDEX(Q31:Q40,MATCH(N41,N31:N40,0))</f>
        <v>660</v>
      </c>
      <c r="R41" s="529">
        <f>INDEX(R31:R40,MATCH(N41,N31:N40,0))</f>
        <v>550</v>
      </c>
      <c r="S41" s="529">
        <f>INDEX(S31:S40,MATCH(N41,N31:N40,0))</f>
        <v>550</v>
      </c>
      <c r="T41" s="529">
        <f>INDEX(T31:T40,MATCH(N41,N31:N40,0))</f>
        <v>550</v>
      </c>
      <c r="U41" s="529">
        <f>INDEX(U31:U40,MATCH(N41,N31:N40,0))</f>
        <v>660</v>
      </c>
      <c r="V41" s="528" t="s">
        <v>70</v>
      </c>
      <c r="W41" s="84"/>
      <c r="X41" s="201"/>
      <c r="Y41" s="201"/>
    </row>
    <row r="42" spans="2:25" x14ac:dyDescent="0.45">
      <c r="B42" s="76" t="s">
        <v>112</v>
      </c>
      <c r="C42" s="77" t="s">
        <v>24</v>
      </c>
      <c r="D42" s="83">
        <f>D32/O$41</f>
        <v>0.90909090909090906</v>
      </c>
      <c r="E42" s="83">
        <f t="shared" ref="E42:J42" si="26">E32/P$41</f>
        <v>0.11038961038961038</v>
      </c>
      <c r="F42" s="83">
        <f t="shared" si="26"/>
        <v>0.13636363636363635</v>
      </c>
      <c r="G42" s="83">
        <f t="shared" si="26"/>
        <v>0.54545454545454541</v>
      </c>
      <c r="H42" s="83">
        <f t="shared" si="26"/>
        <v>0.89090909090909087</v>
      </c>
      <c r="I42" s="83">
        <f t="shared" si="26"/>
        <v>0.15454545454545454</v>
      </c>
      <c r="J42" s="83">
        <f t="shared" si="26"/>
        <v>0.42424242424242425</v>
      </c>
      <c r="K42" s="77"/>
      <c r="M42" s="77"/>
      <c r="N42" s="77"/>
      <c r="O42" s="77"/>
      <c r="P42" s="77"/>
      <c r="Q42" s="77"/>
      <c r="R42" s="77"/>
      <c r="S42" s="77"/>
      <c r="T42" s="77"/>
      <c r="U42" s="77"/>
      <c r="V42" s="524"/>
      <c r="W42" s="84"/>
      <c r="X42" s="201"/>
      <c r="Y42" s="201"/>
    </row>
    <row r="43" spans="2:25" x14ac:dyDescent="0.45">
      <c r="B43" s="77"/>
      <c r="C43" s="77" t="s">
        <v>25</v>
      </c>
      <c r="D43" s="83">
        <f t="shared" ref="D43:D45" si="27">D33/O$41</f>
        <v>0.97402597402597402</v>
      </c>
      <c r="E43" s="83">
        <f t="shared" ref="E43:E45" si="28">E33/P$41</f>
        <v>0.19480519480519481</v>
      </c>
      <c r="F43" s="83">
        <f t="shared" ref="F43:F45" si="29">F33/Q$41</f>
        <v>0.24242424242424243</v>
      </c>
      <c r="G43" s="83">
        <f t="shared" ref="G43:G45" si="30">G33/R$41</f>
        <v>0.63636363636363635</v>
      </c>
      <c r="H43" s="83">
        <f t="shared" ref="H43:H45" si="31">H33/S$41</f>
        <v>0.96363636363636362</v>
      </c>
      <c r="I43" s="83">
        <f t="shared" ref="I43:I45" si="32">I33/T$41</f>
        <v>0.27272727272727271</v>
      </c>
      <c r="J43" s="83">
        <f t="shared" ref="J43:J45" si="33">J33/U$41</f>
        <v>0.45454545454545453</v>
      </c>
      <c r="K43" s="77"/>
      <c r="M43" s="77"/>
      <c r="N43" s="77"/>
      <c r="O43" s="77"/>
      <c r="P43" s="77"/>
      <c r="Q43" s="77"/>
      <c r="R43" s="77"/>
      <c r="S43" s="77"/>
      <c r="T43" s="77"/>
      <c r="U43" s="77"/>
      <c r="V43" s="524"/>
      <c r="W43" s="84"/>
      <c r="X43" s="201"/>
      <c r="Y43" s="201"/>
    </row>
    <row r="44" spans="2:25" x14ac:dyDescent="0.45">
      <c r="B44" s="77"/>
      <c r="C44" s="77" t="s">
        <v>26</v>
      </c>
      <c r="D44" s="83">
        <f t="shared" si="27"/>
        <v>0.94155844155844159</v>
      </c>
      <c r="E44" s="83">
        <f t="shared" si="28"/>
        <v>0.25974025974025972</v>
      </c>
      <c r="F44" s="83">
        <f t="shared" si="29"/>
        <v>0.32575757575757575</v>
      </c>
      <c r="G44" s="83">
        <f t="shared" si="30"/>
        <v>0.65454545454545454</v>
      </c>
      <c r="H44" s="83">
        <f t="shared" si="31"/>
        <v>0.90909090909090906</v>
      </c>
      <c r="I44" s="83">
        <f t="shared" si="32"/>
        <v>0.36363636363636365</v>
      </c>
      <c r="J44" s="83">
        <f t="shared" si="33"/>
        <v>0.51515151515151514</v>
      </c>
      <c r="K44" s="77"/>
      <c r="M44" s="76" t="s">
        <v>114</v>
      </c>
      <c r="N44" s="77"/>
      <c r="O44" s="76" t="s">
        <v>116</v>
      </c>
      <c r="P44" s="77"/>
      <c r="Q44" s="77"/>
      <c r="R44" s="77"/>
      <c r="S44" s="77"/>
      <c r="T44" s="77"/>
      <c r="U44" s="77"/>
      <c r="V44" s="524"/>
      <c r="W44" s="84" t="s">
        <v>115</v>
      </c>
      <c r="X44" s="201" t="s">
        <v>219</v>
      </c>
      <c r="Y44" s="201" t="s">
        <v>759</v>
      </c>
    </row>
    <row r="45" spans="2:25" x14ac:dyDescent="0.45">
      <c r="B45" s="77"/>
      <c r="C45" s="77" t="s">
        <v>27</v>
      </c>
      <c r="D45" s="83">
        <f t="shared" si="27"/>
        <v>0.90909090909090906</v>
      </c>
      <c r="E45" s="83">
        <f t="shared" si="28"/>
        <v>0.27272727272727271</v>
      </c>
      <c r="F45" s="83">
        <f t="shared" si="29"/>
        <v>0.34848484848484851</v>
      </c>
      <c r="G45" s="83">
        <f t="shared" si="30"/>
        <v>0.69090909090909092</v>
      </c>
      <c r="H45" s="83">
        <f t="shared" si="31"/>
        <v>0.83636363636363631</v>
      </c>
      <c r="I45" s="83">
        <f t="shared" si="32"/>
        <v>0.38181818181818183</v>
      </c>
      <c r="J45" s="83">
        <f t="shared" si="33"/>
        <v>0.5757575757575758</v>
      </c>
      <c r="K45" s="77"/>
      <c r="M45" s="77"/>
      <c r="N45" s="77" t="s">
        <v>24</v>
      </c>
      <c r="O45" s="83">
        <f t="shared" ref="O45:U48" si="34">(O6/6.25)-O18-O24-((1.1*10^-4*(D32^0.75))/6.25)</f>
        <v>1.5703203821013634E-2</v>
      </c>
      <c r="P45" s="83">
        <f t="shared" si="34"/>
        <v>-2.1269384468402708E-2</v>
      </c>
      <c r="Q45" s="83">
        <f t="shared" si="34"/>
        <v>-2.0678449171420556E-2</v>
      </c>
      <c r="R45" s="83">
        <f t="shared" si="34"/>
        <v>-2.5348145160927673E-3</v>
      </c>
      <c r="S45" s="83">
        <f t="shared" si="34"/>
        <v>-9.1458920080900678E-3</v>
      </c>
      <c r="T45" s="83">
        <f t="shared" si="34"/>
        <v>-2.0484533547015196E-2</v>
      </c>
      <c r="U45" s="83">
        <f t="shared" si="34"/>
        <v>-6.8043905920743865E-3</v>
      </c>
      <c r="V45" s="524" t="s">
        <v>40</v>
      </c>
      <c r="W45" s="84"/>
      <c r="X45" s="201"/>
      <c r="Y45" s="201"/>
    </row>
    <row r="46" spans="2:25" x14ac:dyDescent="0.45">
      <c r="B46" s="77"/>
      <c r="C46" s="77"/>
      <c r="D46" s="77"/>
      <c r="E46" s="77"/>
      <c r="F46" s="77"/>
      <c r="G46" s="77"/>
      <c r="H46" s="77"/>
      <c r="I46" s="77"/>
      <c r="J46" s="77"/>
      <c r="K46" s="77"/>
      <c r="M46" s="77"/>
      <c r="N46" s="77" t="s">
        <v>25</v>
      </c>
      <c r="O46" s="83">
        <f t="shared" si="34"/>
        <v>0.12534171779153486</v>
      </c>
      <c r="P46" s="83">
        <f t="shared" si="34"/>
        <v>2.9468222944994189E-2</v>
      </c>
      <c r="Q46" s="83">
        <f t="shared" si="34"/>
        <v>4.9516847355675631E-2</v>
      </c>
      <c r="R46" s="83">
        <f t="shared" si="34"/>
        <v>7.5460423356645073E-2</v>
      </c>
      <c r="S46" s="83">
        <f t="shared" si="34"/>
        <v>9.5787283224496422E-2</v>
      </c>
      <c r="T46" s="83">
        <f t="shared" si="34"/>
        <v>4.8836941748174462E-2</v>
      </c>
      <c r="U46" s="83">
        <f t="shared" si="34"/>
        <v>6.3999362924531442E-2</v>
      </c>
      <c r="V46" s="524" t="s">
        <v>40</v>
      </c>
      <c r="W46" s="84"/>
      <c r="X46" s="201"/>
      <c r="Y46" s="201"/>
    </row>
    <row r="47" spans="2:25" x14ac:dyDescent="0.45">
      <c r="B47" s="76" t="s">
        <v>186</v>
      </c>
      <c r="C47" s="77" t="s">
        <v>24</v>
      </c>
      <c r="D47" s="77">
        <f>'Data input'!D10</f>
        <v>169</v>
      </c>
      <c r="E47" s="77">
        <f>'Data input'!E10</f>
        <v>51</v>
      </c>
      <c r="F47" s="77">
        <f>'Data input'!F10</f>
        <v>2213</v>
      </c>
      <c r="G47" s="77">
        <f>'Data input'!G10</f>
        <v>2018</v>
      </c>
      <c r="H47" s="77">
        <f>'Data input'!H10</f>
        <v>5612</v>
      </c>
      <c r="I47" s="77">
        <f>'Data input'!I10</f>
        <v>2322</v>
      </c>
      <c r="J47" s="77">
        <f>'Data input'!J10</f>
        <v>2353</v>
      </c>
      <c r="K47" s="77" t="str">
        <f>'Data input'!K10</f>
        <v>head</v>
      </c>
      <c r="M47" s="77"/>
      <c r="N47" s="77" t="s">
        <v>26</v>
      </c>
      <c r="O47" s="83">
        <f t="shared" si="34"/>
        <v>6.1460217114931194E-2</v>
      </c>
      <c r="P47" s="83">
        <f t="shared" si="34"/>
        <v>1.1821396679539161E-2</v>
      </c>
      <c r="Q47" s="83">
        <f t="shared" si="34"/>
        <v>3.5217801135285234E-2</v>
      </c>
      <c r="R47" s="83">
        <f t="shared" si="34"/>
        <v>3.827198358142913E-2</v>
      </c>
      <c r="S47" s="83">
        <f t="shared" si="34"/>
        <v>4.9540975725701167E-2</v>
      </c>
      <c r="T47" s="83">
        <f t="shared" si="34"/>
        <v>3.3717075777766788E-2</v>
      </c>
      <c r="U47" s="83">
        <f t="shared" si="34"/>
        <v>3.3294311391565738E-2</v>
      </c>
      <c r="V47" s="524" t="s">
        <v>40</v>
      </c>
      <c r="W47" s="84"/>
      <c r="X47" s="201"/>
      <c r="Y47" s="201"/>
    </row>
    <row r="48" spans="2:25" x14ac:dyDescent="0.45">
      <c r="B48" s="77"/>
      <c r="C48" s="77" t="s">
        <v>25</v>
      </c>
      <c r="D48" s="77">
        <f>'Data input'!D11</f>
        <v>158</v>
      </c>
      <c r="E48" s="77">
        <f>'Data input'!E11</f>
        <v>51</v>
      </c>
      <c r="F48" s="77">
        <f>'Data input'!F11</f>
        <v>2252</v>
      </c>
      <c r="G48" s="77">
        <f>'Data input'!G11</f>
        <v>2017</v>
      </c>
      <c r="H48" s="77">
        <f>'Data input'!H11</f>
        <v>4865</v>
      </c>
      <c r="I48" s="77">
        <f>'Data input'!I11</f>
        <v>2297</v>
      </c>
      <c r="J48" s="77">
        <f>'Data input'!J11</f>
        <v>1811</v>
      </c>
      <c r="K48" s="77" t="str">
        <f>'Data input'!K11</f>
        <v>head</v>
      </c>
      <c r="M48" s="77"/>
      <c r="N48" s="77" t="s">
        <v>27</v>
      </c>
      <c r="O48" s="83">
        <f t="shared" si="34"/>
        <v>4.0240776554048535E-2</v>
      </c>
      <c r="P48" s="83">
        <f t="shared" si="34"/>
        <v>1.4782461795699822E-2</v>
      </c>
      <c r="Q48" s="83">
        <f t="shared" si="34"/>
        <v>9.5816524736670999E-3</v>
      </c>
      <c r="R48" s="83">
        <f t="shared" si="34"/>
        <v>2.5133384003424554E-2</v>
      </c>
      <c r="S48" s="83">
        <f t="shared" si="34"/>
        <v>3.2819057103964301E-2</v>
      </c>
      <c r="T48" s="83">
        <f t="shared" si="34"/>
        <v>8.8681525651078362E-3</v>
      </c>
      <c r="U48" s="83">
        <f t="shared" si="34"/>
        <v>2.2126588657467455E-2</v>
      </c>
      <c r="V48" s="524" t="s">
        <v>40</v>
      </c>
      <c r="W48" s="84"/>
      <c r="X48" s="201"/>
      <c r="Y48" s="201"/>
    </row>
    <row r="49" spans="2:25" x14ac:dyDescent="0.45">
      <c r="B49" s="77"/>
      <c r="C49" s="77" t="s">
        <v>26</v>
      </c>
      <c r="D49" s="77">
        <f>'Data input'!D12</f>
        <v>148</v>
      </c>
      <c r="E49" s="77">
        <f>'Data input'!E12</f>
        <v>51</v>
      </c>
      <c r="F49" s="77">
        <f>'Data input'!F12</f>
        <v>2112</v>
      </c>
      <c r="G49" s="77">
        <f>'Data input'!G12</f>
        <v>1763</v>
      </c>
      <c r="H49" s="77">
        <f>'Data input'!H12</f>
        <v>4457</v>
      </c>
      <c r="I49" s="77">
        <f>'Data input'!I12</f>
        <v>2246</v>
      </c>
      <c r="J49" s="77">
        <f>'Data input'!J12</f>
        <v>285</v>
      </c>
      <c r="K49" s="77" t="str">
        <f>'Data input'!K12</f>
        <v>head</v>
      </c>
      <c r="M49" s="77"/>
      <c r="N49" s="77"/>
      <c r="O49" s="77"/>
      <c r="P49" s="77"/>
      <c r="Q49" s="77"/>
      <c r="R49" s="77"/>
      <c r="S49" s="77"/>
      <c r="T49" s="77"/>
      <c r="U49" s="77"/>
      <c r="V49" s="524"/>
      <c r="W49" s="84"/>
      <c r="X49" s="201"/>
      <c r="Y49" s="201"/>
    </row>
    <row r="50" spans="2:25" x14ac:dyDescent="0.45">
      <c r="B50" s="77"/>
      <c r="C50" s="77" t="s">
        <v>27</v>
      </c>
      <c r="D50" s="77">
        <f>'Data input'!D13</f>
        <v>148</v>
      </c>
      <c r="E50" s="77">
        <f>'Data input'!E13</f>
        <v>51</v>
      </c>
      <c r="F50" s="77">
        <f>'Data input'!F13</f>
        <v>2102</v>
      </c>
      <c r="G50" s="77">
        <f>'Data input'!G13</f>
        <v>1374</v>
      </c>
      <c r="H50" s="77">
        <f>'Data input'!H13</f>
        <v>4003</v>
      </c>
      <c r="I50" s="77">
        <f>'Data input'!I13</f>
        <v>2235</v>
      </c>
      <c r="J50" s="77">
        <f>'Data input'!J13</f>
        <v>542</v>
      </c>
      <c r="K50" s="77" t="str">
        <f>'Data input'!K13</f>
        <v>head</v>
      </c>
      <c r="M50" s="76" t="s">
        <v>117</v>
      </c>
      <c r="N50" s="77"/>
      <c r="O50" s="76" t="s">
        <v>118</v>
      </c>
      <c r="P50" s="77"/>
      <c r="Q50" s="77"/>
      <c r="R50" s="77"/>
      <c r="S50" s="77"/>
      <c r="T50" s="77"/>
      <c r="U50" s="77"/>
      <c r="V50" s="524"/>
      <c r="W50" s="84" t="s">
        <v>124</v>
      </c>
      <c r="X50" s="201" t="s">
        <v>220</v>
      </c>
      <c r="Y50" s="201" t="s">
        <v>759</v>
      </c>
    </row>
    <row r="51" spans="2:25" x14ac:dyDescent="0.45">
      <c r="B51" s="77"/>
      <c r="C51" s="77"/>
      <c r="D51" s="77"/>
      <c r="E51" s="77"/>
      <c r="F51" s="77"/>
      <c r="G51" s="77"/>
      <c r="H51" s="77"/>
      <c r="I51" s="77"/>
      <c r="J51" s="77"/>
      <c r="K51" s="77"/>
      <c r="M51" s="77"/>
      <c r="N51" s="77" t="s">
        <v>24</v>
      </c>
      <c r="O51" s="98">
        <f t="shared" ref="O51:U54" si="35">(91.25*D47*O24)*10^-6</f>
        <v>6.7189254047001835E-4</v>
      </c>
      <c r="P51" s="98">
        <f t="shared" si="35"/>
        <v>6.7064796716102563E-5</v>
      </c>
      <c r="Q51" s="98">
        <f t="shared" si="35"/>
        <v>2.9741032526346516E-3</v>
      </c>
      <c r="R51" s="98">
        <f t="shared" si="35"/>
        <v>5.2571961854605128E-3</v>
      </c>
      <c r="S51" s="98">
        <f t="shared" si="35"/>
        <v>2.3007900447172668E-2</v>
      </c>
      <c r="T51" s="98">
        <f t="shared" si="35"/>
        <v>3.0534207446037279E-3</v>
      </c>
      <c r="U51" s="98">
        <f t="shared" si="35"/>
        <v>5.8502950377589836E-3</v>
      </c>
      <c r="V51" s="524" t="s">
        <v>121</v>
      </c>
      <c r="W51" s="84"/>
      <c r="X51" s="201"/>
      <c r="Y51" s="201"/>
    </row>
    <row r="52" spans="2:25" x14ac:dyDescent="0.45">
      <c r="B52" s="71" t="s">
        <v>122</v>
      </c>
      <c r="C52" s="72"/>
      <c r="D52" s="72"/>
      <c r="E52" s="80">
        <f>44/28</f>
        <v>1.5714285714285714</v>
      </c>
      <c r="F52" s="72"/>
      <c r="G52" s="72"/>
      <c r="H52" s="72"/>
      <c r="I52" s="72"/>
      <c r="J52" s="72"/>
      <c r="K52" s="72"/>
      <c r="M52" s="77"/>
      <c r="N52" s="77" t="s">
        <v>25</v>
      </c>
      <c r="O52" s="98">
        <f t="shared" si="35"/>
        <v>8.3173744498017297E-4</v>
      </c>
      <c r="P52" s="98">
        <f t="shared" si="35"/>
        <v>1.0516001160367626E-4</v>
      </c>
      <c r="Q52" s="98">
        <f t="shared" si="35"/>
        <v>5.5070578910125581E-3</v>
      </c>
      <c r="R52" s="98">
        <f t="shared" si="35"/>
        <v>6.7345467597118257E-3</v>
      </c>
      <c r="S52" s="98">
        <f t="shared" si="35"/>
        <v>2.2945769955694865E-2</v>
      </c>
      <c r="T52" s="98">
        <f t="shared" si="35"/>
        <v>5.3600299888766512E-3</v>
      </c>
      <c r="U52" s="98">
        <f t="shared" si="35"/>
        <v>5.7570114377465762E-3</v>
      </c>
      <c r="V52" s="524" t="s">
        <v>121</v>
      </c>
      <c r="W52" s="84"/>
      <c r="X52" s="201"/>
      <c r="Y52" s="201"/>
    </row>
    <row r="53" spans="2:25" x14ac:dyDescent="0.45">
      <c r="M53" s="77"/>
      <c r="N53" s="77" t="s">
        <v>26</v>
      </c>
      <c r="O53" s="98">
        <f t="shared" si="35"/>
        <v>6.7451068471876283E-4</v>
      </c>
      <c r="P53" s="98">
        <f t="shared" si="35"/>
        <v>1.0842079187015236E-4</v>
      </c>
      <c r="Q53" s="98">
        <f t="shared" si="35"/>
        <v>5.1114094384390315E-3</v>
      </c>
      <c r="R53" s="98">
        <f t="shared" si="35"/>
        <v>4.7684689111213811E-3</v>
      </c>
      <c r="S53" s="98">
        <f t="shared" si="35"/>
        <v>1.3881520411288199E-2</v>
      </c>
      <c r="T53" s="98">
        <f t="shared" si="35"/>
        <v>5.2845030220814168E-3</v>
      </c>
      <c r="U53" s="98">
        <f t="shared" si="35"/>
        <v>8.1334825011699567E-4</v>
      </c>
      <c r="V53" s="524" t="s">
        <v>121</v>
      </c>
      <c r="W53" s="84"/>
      <c r="X53" s="201"/>
      <c r="Y53" s="201"/>
    </row>
    <row r="54" spans="2:25" x14ac:dyDescent="0.45">
      <c r="M54" s="77"/>
      <c r="N54" s="77" t="s">
        <v>27</v>
      </c>
      <c r="O54" s="98">
        <f t="shared" si="35"/>
        <v>5.3884840985350007E-4</v>
      </c>
      <c r="P54" s="98">
        <f t="shared" si="35"/>
        <v>8.718564676801756E-5</v>
      </c>
      <c r="Q54" s="98">
        <f t="shared" si="35"/>
        <v>4.2903518011325218E-3</v>
      </c>
      <c r="R54" s="98">
        <f t="shared" si="35"/>
        <v>3.7593104912789568E-3</v>
      </c>
      <c r="S54" s="98">
        <f t="shared" si="35"/>
        <v>1.0789596493692849E-2</v>
      </c>
      <c r="T54" s="98">
        <f t="shared" si="35"/>
        <v>4.2904606664108504E-3</v>
      </c>
      <c r="U54" s="98">
        <f t="shared" si="35"/>
        <v>1.5850857983629478E-3</v>
      </c>
      <c r="V54" s="524" t="s">
        <v>121</v>
      </c>
      <c r="W54" s="84"/>
      <c r="X54" s="201"/>
      <c r="Y54" s="201"/>
    </row>
    <row r="55" spans="2:25" x14ac:dyDescent="0.45">
      <c r="M55" s="77"/>
      <c r="N55" s="77"/>
      <c r="O55" s="77"/>
      <c r="P55" s="77"/>
      <c r="Q55" s="77"/>
      <c r="R55" s="77"/>
      <c r="S55" s="77"/>
      <c r="T55" s="77"/>
      <c r="U55" s="77"/>
      <c r="V55" s="524"/>
      <c r="W55" s="84"/>
      <c r="X55" s="201"/>
      <c r="Y55" s="201"/>
    </row>
    <row r="56" spans="2:25" x14ac:dyDescent="0.45">
      <c r="M56" s="76" t="s">
        <v>119</v>
      </c>
      <c r="N56" s="77"/>
      <c r="O56" s="76" t="s">
        <v>120</v>
      </c>
      <c r="P56" s="77"/>
      <c r="Q56" s="77"/>
      <c r="R56" s="77"/>
      <c r="S56" s="77"/>
      <c r="T56" s="77"/>
      <c r="U56" s="77"/>
      <c r="V56" s="524"/>
      <c r="W56" s="84" t="s">
        <v>125</v>
      </c>
      <c r="X56" s="201" t="s">
        <v>221</v>
      </c>
      <c r="Y56" s="201" t="s">
        <v>759</v>
      </c>
    </row>
    <row r="57" spans="2:25" x14ac:dyDescent="0.45">
      <c r="M57" s="77"/>
      <c r="N57" s="77" t="s">
        <v>24</v>
      </c>
      <c r="O57" s="98">
        <f t="shared" ref="O57:U60" si="36">(91.25*D47*O45)*10^-6</f>
        <v>2.4216303192480651E-4</v>
      </c>
      <c r="P57" s="98">
        <f t="shared" si="36"/>
        <v>-9.8982397969829097E-5</v>
      </c>
      <c r="Q57" s="98">
        <f t="shared" si="36"/>
        <v>-4.1757284814922741E-3</v>
      </c>
      <c r="R57" s="98">
        <f t="shared" si="36"/>
        <v>-4.6676708202961242E-4</v>
      </c>
      <c r="S57" s="98">
        <f t="shared" si="36"/>
        <v>-4.6835655678828829E-3</v>
      </c>
      <c r="T57" s="98">
        <f t="shared" si="36"/>
        <v>-4.3403141792754474E-3</v>
      </c>
      <c r="U57" s="98">
        <f t="shared" si="36"/>
        <v>-1.4609792095125317E-3</v>
      </c>
      <c r="V57" s="524" t="s">
        <v>121</v>
      </c>
      <c r="W57" s="84"/>
      <c r="X57" s="201"/>
      <c r="Y57" s="201"/>
    </row>
    <row r="58" spans="2:25" x14ac:dyDescent="0.45">
      <c r="M58" s="77"/>
      <c r="N58" s="77" t="s">
        <v>25</v>
      </c>
      <c r="O58" s="98">
        <f t="shared" si="36"/>
        <v>1.8071142162594538E-3</v>
      </c>
      <c r="P58" s="98">
        <f t="shared" si="36"/>
        <v>1.371377425302667E-4</v>
      </c>
      <c r="Q58" s="98">
        <f t="shared" si="36"/>
        <v>1.0175464547354563E-2</v>
      </c>
      <c r="R58" s="98">
        <f t="shared" si="36"/>
        <v>1.3888585244319721E-2</v>
      </c>
      <c r="S58" s="98">
        <f t="shared" si="36"/>
        <v>4.2522968375954727E-2</v>
      </c>
      <c r="T58" s="98">
        <f t="shared" si="36"/>
        <v>1.0236284036594552E-2</v>
      </c>
      <c r="U58" s="98">
        <f t="shared" si="36"/>
        <v>1.0576134720889788E-2</v>
      </c>
      <c r="V58" s="524" t="s">
        <v>121</v>
      </c>
      <c r="W58" s="84"/>
      <c r="X58" s="201"/>
      <c r="Y58" s="201"/>
    </row>
    <row r="59" spans="2:25" x14ac:dyDescent="0.45">
      <c r="M59" s="77"/>
      <c r="N59" s="77" t="s">
        <v>26</v>
      </c>
      <c r="O59" s="98">
        <f t="shared" si="36"/>
        <v>8.3002023213714566E-4</v>
      </c>
      <c r="P59" s="98">
        <f t="shared" si="36"/>
        <v>5.5013824797405365E-5</v>
      </c>
      <c r="Q59" s="98">
        <f t="shared" si="36"/>
        <v>6.7871746347921702E-3</v>
      </c>
      <c r="R59" s="98">
        <f t="shared" si="36"/>
        <v>6.1569575186829336E-3</v>
      </c>
      <c r="S59" s="98">
        <f t="shared" si="36"/>
        <v>2.0148376753862319E-2</v>
      </c>
      <c r="T59" s="98">
        <f t="shared" si="36"/>
        <v>6.9102303879638579E-3</v>
      </c>
      <c r="U59" s="98">
        <f t="shared" si="36"/>
        <v>8.6586018562690651E-4</v>
      </c>
      <c r="V59" s="524" t="s">
        <v>121</v>
      </c>
      <c r="W59" s="84"/>
      <c r="X59" s="201"/>
      <c r="Y59" s="201"/>
    </row>
    <row r="60" spans="2:25" x14ac:dyDescent="0.45">
      <c r="M60" s="72"/>
      <c r="N60" s="72" t="s">
        <v>27</v>
      </c>
      <c r="O60" s="530">
        <f t="shared" si="36"/>
        <v>5.4345168736242547E-4</v>
      </c>
      <c r="P60" s="530">
        <f t="shared" si="36"/>
        <v>6.8793881581738047E-5</v>
      </c>
      <c r="Q60" s="530">
        <f t="shared" si="36"/>
        <v>1.8378328068429021E-3</v>
      </c>
      <c r="R60" s="530">
        <f t="shared" si="36"/>
        <v>3.1511608528893621E-3</v>
      </c>
      <c r="S60" s="530">
        <f t="shared" si="36"/>
        <v>1.1987940059829179E-2</v>
      </c>
      <c r="T60" s="530">
        <f t="shared" si="36"/>
        <v>1.8086042897002112E-3</v>
      </c>
      <c r="U60" s="530">
        <f t="shared" si="36"/>
        <v>1.0943257585266967E-3</v>
      </c>
      <c r="V60" s="526" t="s">
        <v>121</v>
      </c>
      <c r="W60" s="85"/>
      <c r="X60" s="85"/>
      <c r="Y60" s="85"/>
    </row>
    <row r="81" spans="14:23" x14ac:dyDescent="0.45">
      <c r="N81" s="65"/>
      <c r="O81" s="65"/>
      <c r="P81" s="65"/>
      <c r="Q81" s="65"/>
      <c r="R81" s="65"/>
      <c r="S81" s="65"/>
      <c r="T81" s="65"/>
      <c r="W81" s="74"/>
    </row>
    <row r="82" spans="14:23" x14ac:dyDescent="0.45">
      <c r="N82" s="65"/>
      <c r="O82" s="65"/>
      <c r="P82" s="65"/>
      <c r="Q82" s="65"/>
      <c r="R82" s="65"/>
      <c r="S82" s="65"/>
      <c r="T82" s="65"/>
      <c r="W82" s="74"/>
    </row>
    <row r="83" spans="14:23" x14ac:dyDescent="0.45">
      <c r="N83" s="65"/>
      <c r="O83" s="65"/>
      <c r="P83" s="65"/>
      <c r="Q83" s="65"/>
      <c r="R83" s="65"/>
      <c r="S83" s="65"/>
      <c r="T83" s="65"/>
      <c r="W83" s="74"/>
    </row>
    <row r="84" spans="14:23" x14ac:dyDescent="0.45">
      <c r="N84" s="65"/>
      <c r="O84" s="65"/>
      <c r="P84" s="65"/>
      <c r="Q84" s="65"/>
      <c r="R84" s="65"/>
      <c r="S84" s="65"/>
      <c r="T84" s="65"/>
      <c r="U84" s="65"/>
    </row>
    <row r="85" spans="14:23" x14ac:dyDescent="0.45">
      <c r="N85" s="66"/>
      <c r="O85" s="66"/>
      <c r="P85" s="66"/>
      <c r="Q85" s="66"/>
      <c r="R85" s="66"/>
      <c r="S85" s="66"/>
      <c r="T85" s="66"/>
      <c r="U85" s="65"/>
    </row>
  </sheetData>
  <sheetProtection sheet="1" objects="1" scenarios="1"/>
  <phoneticPr fontId="12" type="noConversion"/>
  <pageMargins left="0.75" right="0.75" top="1" bottom="1" header="0.5" footer="0.5"/>
  <pageSetup paperSize="9"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P285"/>
  <sheetViews>
    <sheetView showGridLines="0" zoomScale="80" zoomScaleNormal="80" zoomScalePageLayoutView="80" workbookViewId="0"/>
  </sheetViews>
  <sheetFormatPr defaultColWidth="8.86328125" defaultRowHeight="15.4" x14ac:dyDescent="0.45"/>
  <cols>
    <col min="1" max="1" width="3.1328125" style="1" customWidth="1"/>
    <col min="2" max="2" width="45" style="1" customWidth="1"/>
    <col min="3" max="3" width="29" style="1" customWidth="1"/>
    <col min="4" max="4" width="18.265625" style="1" customWidth="1"/>
    <col min="5" max="5" width="14.265625" style="1" customWidth="1"/>
    <col min="6" max="6" width="11.3984375" style="1" customWidth="1"/>
    <col min="7" max="7" width="14.265625" style="1" customWidth="1"/>
    <col min="8" max="8" width="14.73046875" style="1" customWidth="1"/>
    <col min="9" max="10" width="14" style="1" bestFit="1" customWidth="1"/>
    <col min="11" max="11" width="25.73046875" style="1" customWidth="1"/>
    <col min="12" max="12" width="21.3984375" style="67" customWidth="1"/>
    <col min="13" max="14" width="20" style="2" bestFit="1" customWidth="1"/>
    <col min="15" max="15" width="12.73046875" style="1" bestFit="1" customWidth="1"/>
    <col min="16" max="16384" width="8.86328125" style="1"/>
  </cols>
  <sheetData>
    <row r="1" spans="1:14" ht="30" customHeight="1" x14ac:dyDescent="0.45">
      <c r="A1" s="20" t="s">
        <v>128</v>
      </c>
      <c r="H1" s="2"/>
      <c r="L1" s="96"/>
    </row>
    <row r="2" spans="1:14" x14ac:dyDescent="0.45">
      <c r="B2" s="64"/>
      <c r="H2" s="22"/>
      <c r="I2" s="3"/>
      <c r="J2" s="3"/>
      <c r="K2" s="3"/>
    </row>
    <row r="3" spans="1:14" ht="15" customHeight="1" x14ac:dyDescent="0.45">
      <c r="B3" s="88" t="s">
        <v>56</v>
      </c>
      <c r="C3" s="88" t="s">
        <v>72</v>
      </c>
      <c r="D3" s="95"/>
      <c r="E3" s="88"/>
      <c r="F3" s="88"/>
      <c r="G3" s="88"/>
      <c r="H3" s="88"/>
      <c r="I3" s="88"/>
      <c r="J3" s="88"/>
      <c r="K3" s="89" t="str">
        <f>'Enteric fermentation'!K3</f>
        <v>Units</v>
      </c>
      <c r="L3" s="204" t="s">
        <v>185</v>
      </c>
      <c r="M3" s="209" t="s">
        <v>193</v>
      </c>
      <c r="N3" s="204" t="s">
        <v>203</v>
      </c>
    </row>
    <row r="4" spans="1:14" x14ac:dyDescent="0.45">
      <c r="B4" s="90"/>
      <c r="C4" s="91"/>
      <c r="D4" s="90"/>
      <c r="E4" s="92"/>
      <c r="F4" s="87"/>
      <c r="G4" s="87"/>
      <c r="H4" s="87"/>
      <c r="I4" s="87"/>
      <c r="J4" s="87"/>
      <c r="K4" s="87"/>
      <c r="L4" s="205"/>
      <c r="M4" s="210"/>
      <c r="N4" s="210"/>
    </row>
    <row r="5" spans="1:14" x14ac:dyDescent="0.45">
      <c r="B5" s="90"/>
      <c r="C5" s="91"/>
      <c r="D5" s="110" t="s">
        <v>455</v>
      </c>
      <c r="E5" s="358"/>
      <c r="F5" s="111" t="s">
        <v>454</v>
      </c>
      <c r="G5" s="87"/>
      <c r="H5" s="87"/>
      <c r="I5" s="87"/>
      <c r="J5" s="87"/>
      <c r="K5" s="87"/>
      <c r="L5" s="205"/>
      <c r="M5" s="210"/>
      <c r="N5" s="210"/>
    </row>
    <row r="6" spans="1:14" x14ac:dyDescent="0.45">
      <c r="B6" s="93" t="s">
        <v>166</v>
      </c>
      <c r="C6" s="87" t="s">
        <v>24</v>
      </c>
      <c r="D6" s="102">
        <f>'Data input'!D45*$C$30</f>
        <v>0</v>
      </c>
      <c r="E6" s="90"/>
      <c r="F6" s="117">
        <f>'Data input'!F45*$C$30</f>
        <v>0</v>
      </c>
      <c r="G6" s="87"/>
      <c r="H6" s="87"/>
      <c r="I6" s="92"/>
      <c r="J6" s="87"/>
      <c r="K6" s="87" t="s">
        <v>130</v>
      </c>
      <c r="L6" s="205"/>
      <c r="M6" s="210"/>
      <c r="N6" s="210"/>
    </row>
    <row r="7" spans="1:14" x14ac:dyDescent="0.45">
      <c r="B7" s="87"/>
      <c r="C7" s="87" t="s">
        <v>25</v>
      </c>
      <c r="D7" s="102">
        <f>'Data input'!D46*$C$30</f>
        <v>0</v>
      </c>
      <c r="E7" s="90"/>
      <c r="F7" s="117">
        <f>'Data input'!F46*$C$30</f>
        <v>0</v>
      </c>
      <c r="G7" s="87"/>
      <c r="H7" s="87"/>
      <c r="I7" s="92"/>
      <c r="J7" s="87"/>
      <c r="K7" s="87" t="s">
        <v>130</v>
      </c>
      <c r="L7" s="205"/>
      <c r="M7" s="210"/>
      <c r="N7" s="210"/>
    </row>
    <row r="8" spans="1:14" x14ac:dyDescent="0.45">
      <c r="B8" s="87"/>
      <c r="C8" s="87" t="s">
        <v>26</v>
      </c>
      <c r="D8" s="102">
        <f>'Data input'!D47*$C$30</f>
        <v>0</v>
      </c>
      <c r="E8" s="90"/>
      <c r="F8" s="117">
        <f>'Data input'!F47*$C$30</f>
        <v>0</v>
      </c>
      <c r="G8" s="87"/>
      <c r="H8" s="87"/>
      <c r="I8" s="92"/>
      <c r="J8" s="87"/>
      <c r="K8" s="87" t="s">
        <v>130</v>
      </c>
      <c r="L8" s="205"/>
      <c r="M8" s="210"/>
      <c r="N8" s="210"/>
    </row>
    <row r="9" spans="1:14" x14ac:dyDescent="0.45">
      <c r="B9" s="87"/>
      <c r="C9" s="87" t="s">
        <v>27</v>
      </c>
      <c r="D9" s="102">
        <f>'Data input'!D48*$C$30</f>
        <v>0</v>
      </c>
      <c r="E9" s="90"/>
      <c r="F9" s="117">
        <f>'Data input'!F48*$C$30</f>
        <v>0</v>
      </c>
      <c r="G9" s="87"/>
      <c r="H9" s="87"/>
      <c r="I9" s="92"/>
      <c r="J9" s="87"/>
      <c r="K9" s="87" t="s">
        <v>130</v>
      </c>
      <c r="L9" s="205"/>
      <c r="M9" s="210"/>
      <c r="N9" s="210"/>
    </row>
    <row r="10" spans="1:14" x14ac:dyDescent="0.45">
      <c r="B10" s="87"/>
      <c r="C10" s="90"/>
      <c r="D10" s="102"/>
      <c r="E10" s="90"/>
      <c r="F10" s="87"/>
      <c r="G10" s="87"/>
      <c r="H10" s="87"/>
      <c r="I10" s="92"/>
      <c r="J10" s="87"/>
      <c r="K10" s="87"/>
      <c r="L10" s="205"/>
      <c r="M10" s="210"/>
      <c r="N10" s="210"/>
    </row>
    <row r="11" spans="1:14" x14ac:dyDescent="0.45">
      <c r="B11" s="87"/>
      <c r="C11" s="90"/>
      <c r="D11" s="110" t="s">
        <v>455</v>
      </c>
      <c r="E11" s="358"/>
      <c r="F11" s="111" t="s">
        <v>454</v>
      </c>
      <c r="G11" s="87"/>
      <c r="H11" s="87"/>
      <c r="I11" s="92"/>
      <c r="J11" s="87"/>
      <c r="K11" s="87"/>
      <c r="L11" s="205"/>
      <c r="M11" s="210"/>
      <c r="N11" s="210"/>
    </row>
    <row r="12" spans="1:14" x14ac:dyDescent="0.45">
      <c r="B12" s="93" t="s">
        <v>165</v>
      </c>
      <c r="C12" s="87" t="s">
        <v>24</v>
      </c>
      <c r="D12" s="102">
        <f>'Data input'!D52*$C$31</f>
        <v>103340.00000000001</v>
      </c>
      <c r="E12" s="90"/>
      <c r="F12" s="117">
        <f>'Data input'!F52*$C$31</f>
        <v>0</v>
      </c>
      <c r="G12" s="87"/>
      <c r="H12" s="87"/>
      <c r="I12" s="92"/>
      <c r="J12" s="87"/>
      <c r="K12" s="87" t="s">
        <v>130</v>
      </c>
      <c r="L12" s="205"/>
      <c r="M12" s="210"/>
      <c r="N12" s="210"/>
    </row>
    <row r="13" spans="1:14" x14ac:dyDescent="0.45">
      <c r="B13" s="87"/>
      <c r="C13" s="87" t="s">
        <v>25</v>
      </c>
      <c r="D13" s="102">
        <f>'Data input'!D53*$C$31</f>
        <v>0</v>
      </c>
      <c r="E13" s="90"/>
      <c r="F13" s="117">
        <f>'Data input'!F53*$C$31</f>
        <v>0</v>
      </c>
      <c r="G13" s="87"/>
      <c r="H13" s="87"/>
      <c r="I13" s="92"/>
      <c r="J13" s="87"/>
      <c r="K13" s="87" t="s">
        <v>130</v>
      </c>
      <c r="L13" s="205"/>
      <c r="M13" s="210"/>
      <c r="N13" s="210"/>
    </row>
    <row r="14" spans="1:14" x14ac:dyDescent="0.45">
      <c r="B14" s="87"/>
      <c r="C14" s="87" t="s">
        <v>26</v>
      </c>
      <c r="D14" s="102">
        <f>'Data input'!D54*$C$31</f>
        <v>268603.05</v>
      </c>
      <c r="E14" s="90"/>
      <c r="F14" s="117">
        <f>'Data input'!F54*$C$31</f>
        <v>0</v>
      </c>
      <c r="G14" s="87"/>
      <c r="H14" s="87"/>
      <c r="I14" s="92"/>
      <c r="J14" s="87"/>
      <c r="K14" s="87" t="s">
        <v>130</v>
      </c>
      <c r="L14" s="205"/>
      <c r="M14" s="210"/>
      <c r="N14" s="210"/>
    </row>
    <row r="15" spans="1:14" x14ac:dyDescent="0.45">
      <c r="B15" s="87"/>
      <c r="C15" s="87" t="s">
        <v>27</v>
      </c>
      <c r="D15" s="102">
        <f>'Data input'!D55*$C$31</f>
        <v>0</v>
      </c>
      <c r="E15" s="90"/>
      <c r="F15" s="117">
        <f>'Data input'!F55*$C$31</f>
        <v>0</v>
      </c>
      <c r="G15" s="87"/>
      <c r="H15" s="87"/>
      <c r="I15" s="92"/>
      <c r="J15" s="87"/>
      <c r="K15" s="87" t="s">
        <v>130</v>
      </c>
      <c r="L15" s="205"/>
      <c r="M15" s="210"/>
      <c r="N15" s="210"/>
    </row>
    <row r="16" spans="1:14" x14ac:dyDescent="0.45">
      <c r="B16" s="87"/>
      <c r="C16" s="87"/>
      <c r="D16" s="102"/>
      <c r="E16" s="92"/>
      <c r="F16" s="87"/>
      <c r="G16" s="87"/>
      <c r="H16" s="87"/>
      <c r="I16" s="92"/>
      <c r="J16" s="87"/>
      <c r="K16" s="87"/>
      <c r="L16" s="205"/>
      <c r="M16" s="210"/>
      <c r="N16" s="210"/>
    </row>
    <row r="17" spans="2:15" x14ac:dyDescent="0.45">
      <c r="B17" s="87"/>
      <c r="C17" s="87"/>
      <c r="D17" s="110" t="s">
        <v>455</v>
      </c>
      <c r="E17" s="358"/>
      <c r="F17" s="111" t="s">
        <v>454</v>
      </c>
      <c r="G17" s="87"/>
      <c r="H17" s="87"/>
      <c r="I17" s="92"/>
      <c r="J17" s="87"/>
      <c r="K17" s="87"/>
      <c r="L17" s="205"/>
      <c r="M17" s="210"/>
      <c r="N17" s="210"/>
    </row>
    <row r="18" spans="2:15" x14ac:dyDescent="0.45">
      <c r="B18" s="93" t="s">
        <v>240</v>
      </c>
      <c r="C18" s="87" t="s">
        <v>24</v>
      </c>
      <c r="D18" s="102">
        <f>'Data input'!D59*$C$30</f>
        <v>0</v>
      </c>
      <c r="E18" s="90"/>
      <c r="F18" s="117">
        <f>'Data input'!F59*$C$30</f>
        <v>0</v>
      </c>
      <c r="G18" s="87"/>
      <c r="H18" s="87"/>
      <c r="I18" s="92"/>
      <c r="J18" s="87"/>
      <c r="K18" s="87" t="s">
        <v>130</v>
      </c>
      <c r="L18" s="205"/>
      <c r="M18" s="210"/>
      <c r="N18" s="210"/>
    </row>
    <row r="19" spans="2:15" x14ac:dyDescent="0.45">
      <c r="B19" s="87"/>
      <c r="C19" s="87" t="s">
        <v>25</v>
      </c>
      <c r="D19" s="102">
        <f>'Data input'!D60*$C$30</f>
        <v>0</v>
      </c>
      <c r="E19" s="90"/>
      <c r="F19" s="117">
        <f>'Data input'!F60*$C$30</f>
        <v>0</v>
      </c>
      <c r="G19" s="87"/>
      <c r="H19" s="87"/>
      <c r="I19" s="92"/>
      <c r="J19" s="87"/>
      <c r="K19" s="87" t="s">
        <v>130</v>
      </c>
      <c r="L19" s="205"/>
      <c r="M19" s="210"/>
      <c r="N19" s="210"/>
    </row>
    <row r="20" spans="2:15" x14ac:dyDescent="0.45">
      <c r="B20" s="87"/>
      <c r="C20" s="87" t="s">
        <v>26</v>
      </c>
      <c r="D20" s="102">
        <f>'Data input'!D61*$C$30</f>
        <v>0</v>
      </c>
      <c r="E20" s="90"/>
      <c r="F20" s="117">
        <f>'Data input'!F61*$C$30</f>
        <v>0</v>
      </c>
      <c r="G20" s="87"/>
      <c r="H20" s="87"/>
      <c r="I20" s="92"/>
      <c r="J20" s="87"/>
      <c r="K20" s="87" t="s">
        <v>130</v>
      </c>
      <c r="L20" s="205"/>
      <c r="M20" s="210"/>
      <c r="N20" s="210"/>
    </row>
    <row r="21" spans="2:15" x14ac:dyDescent="0.45">
      <c r="B21" s="87"/>
      <c r="C21" s="87" t="s">
        <v>27</v>
      </c>
      <c r="D21" s="102">
        <f>'Data input'!D62*$C$30</f>
        <v>0</v>
      </c>
      <c r="E21" s="90"/>
      <c r="F21" s="117">
        <f>'Data input'!F62*$C$30</f>
        <v>0</v>
      </c>
      <c r="G21" s="87"/>
      <c r="H21" s="87"/>
      <c r="I21" s="92"/>
      <c r="J21" s="87"/>
      <c r="K21" s="87" t="s">
        <v>130</v>
      </c>
      <c r="L21" s="205"/>
      <c r="M21" s="210"/>
      <c r="N21" s="210"/>
    </row>
    <row r="22" spans="2:15" x14ac:dyDescent="0.45">
      <c r="B22" s="87"/>
      <c r="C22" s="87"/>
      <c r="D22" s="102"/>
      <c r="E22" s="92"/>
      <c r="F22" s="87"/>
      <c r="G22" s="87"/>
      <c r="H22" s="87"/>
      <c r="I22" s="92"/>
      <c r="J22" s="87"/>
      <c r="K22" s="87"/>
      <c r="L22" s="205"/>
      <c r="M22" s="210"/>
      <c r="N22" s="210"/>
    </row>
    <row r="23" spans="2:15" x14ac:dyDescent="0.45">
      <c r="B23" s="87"/>
      <c r="C23" s="87"/>
      <c r="D23" s="110" t="s">
        <v>455</v>
      </c>
      <c r="E23" s="358"/>
      <c r="F23" s="111" t="s">
        <v>454</v>
      </c>
      <c r="G23" s="87"/>
      <c r="H23" s="87"/>
      <c r="I23" s="92"/>
      <c r="J23" s="87"/>
      <c r="K23" s="87"/>
      <c r="L23" s="205"/>
      <c r="M23" s="210"/>
      <c r="N23" s="210"/>
    </row>
    <row r="24" spans="2:15" x14ac:dyDescent="0.45">
      <c r="B24" s="93" t="s">
        <v>241</v>
      </c>
      <c r="C24" s="87" t="s">
        <v>24</v>
      </c>
      <c r="D24" s="102">
        <f>'Data input'!D66*$C$31</f>
        <v>0</v>
      </c>
      <c r="E24" s="90"/>
      <c r="F24" s="117">
        <f>'Data input'!F66*$C$31</f>
        <v>0</v>
      </c>
      <c r="G24" s="87"/>
      <c r="H24" s="87"/>
      <c r="I24" s="92"/>
      <c r="J24" s="87"/>
      <c r="K24" s="87" t="s">
        <v>130</v>
      </c>
      <c r="L24" s="205"/>
      <c r="M24" s="210"/>
      <c r="N24" s="210"/>
    </row>
    <row r="25" spans="2:15" x14ac:dyDescent="0.45">
      <c r="B25" s="87"/>
      <c r="C25" s="87" t="s">
        <v>25</v>
      </c>
      <c r="D25" s="102">
        <f>'Data input'!D67*$C$31</f>
        <v>0</v>
      </c>
      <c r="E25" s="90"/>
      <c r="F25" s="117">
        <f>'Data input'!F67*$C$31</f>
        <v>0</v>
      </c>
      <c r="G25" s="87"/>
      <c r="H25" s="87"/>
      <c r="I25" s="92"/>
      <c r="J25" s="87"/>
      <c r="K25" s="87" t="s">
        <v>130</v>
      </c>
      <c r="L25" s="205"/>
      <c r="M25" s="210"/>
      <c r="N25" s="210"/>
    </row>
    <row r="26" spans="2:15" x14ac:dyDescent="0.45">
      <c r="B26" s="87"/>
      <c r="C26" s="87" t="s">
        <v>26</v>
      </c>
      <c r="D26" s="102">
        <f>'Data input'!D68*$C$31</f>
        <v>0</v>
      </c>
      <c r="E26" s="90"/>
      <c r="F26" s="117">
        <f>'Data input'!F68*$C$31</f>
        <v>0</v>
      </c>
      <c r="G26" s="87"/>
      <c r="H26" s="87"/>
      <c r="I26" s="92"/>
      <c r="J26" s="87"/>
      <c r="K26" s="87" t="s">
        <v>130</v>
      </c>
      <c r="L26" s="205"/>
      <c r="M26" s="210"/>
      <c r="N26" s="210"/>
    </row>
    <row r="27" spans="2:15" x14ac:dyDescent="0.45">
      <c r="B27" s="87"/>
      <c r="C27" s="87" t="s">
        <v>27</v>
      </c>
      <c r="D27" s="102">
        <f>'Data input'!D69*$C$31</f>
        <v>0</v>
      </c>
      <c r="E27" s="90"/>
      <c r="F27" s="117">
        <f>'Data input'!F69*$C$31</f>
        <v>0</v>
      </c>
      <c r="G27" s="87"/>
      <c r="H27" s="87"/>
      <c r="I27" s="92"/>
      <c r="J27" s="87"/>
      <c r="K27" s="87" t="s">
        <v>130</v>
      </c>
      <c r="L27" s="205"/>
      <c r="M27" s="210"/>
      <c r="N27" s="210"/>
    </row>
    <row r="28" spans="2:15" x14ac:dyDescent="0.45">
      <c r="B28" s="87"/>
      <c r="C28" s="87"/>
      <c r="D28" s="90"/>
      <c r="E28" s="92"/>
      <c r="F28" s="87"/>
      <c r="G28" s="87"/>
      <c r="H28" s="87"/>
      <c r="I28" s="92"/>
      <c r="J28" s="87"/>
      <c r="K28" s="87"/>
      <c r="L28" s="205"/>
      <c r="M28" s="210"/>
      <c r="N28" s="210"/>
    </row>
    <row r="29" spans="2:15" x14ac:dyDescent="0.45">
      <c r="B29" s="87"/>
      <c r="C29" s="87"/>
      <c r="D29" s="90"/>
      <c r="E29" s="92"/>
      <c r="F29" s="87"/>
      <c r="G29" s="87"/>
      <c r="H29" s="87"/>
      <c r="I29" s="92"/>
      <c r="J29" s="87"/>
      <c r="K29" s="87"/>
      <c r="L29" s="205"/>
      <c r="M29" s="210"/>
      <c r="N29" s="210"/>
      <c r="O29" s="3"/>
    </row>
    <row r="30" spans="2:15" x14ac:dyDescent="0.45">
      <c r="B30" s="93" t="s">
        <v>18</v>
      </c>
      <c r="C30" s="87">
        <f>'Data input'!D41</f>
        <v>0</v>
      </c>
      <c r="D30" s="90"/>
      <c r="E30" s="92"/>
      <c r="F30" s="87"/>
      <c r="G30" s="87"/>
      <c r="H30" s="87"/>
      <c r="I30" s="92"/>
      <c r="J30" s="87"/>
      <c r="K30" s="87" t="s">
        <v>228</v>
      </c>
      <c r="L30" s="205"/>
      <c r="M30" s="210"/>
      <c r="N30" s="210"/>
      <c r="O30" s="3"/>
    </row>
    <row r="31" spans="2:15" x14ac:dyDescent="0.45">
      <c r="B31" s="93" t="s">
        <v>19</v>
      </c>
      <c r="C31" s="87">
        <f>'Data input'!D42</f>
        <v>5637</v>
      </c>
      <c r="D31" s="90"/>
      <c r="E31" s="92"/>
      <c r="F31" s="87"/>
      <c r="G31" s="87"/>
      <c r="H31" s="87"/>
      <c r="I31" s="92"/>
      <c r="J31" s="87"/>
      <c r="K31" s="87" t="s">
        <v>228</v>
      </c>
      <c r="L31" s="205"/>
      <c r="M31" s="210"/>
      <c r="N31" s="210"/>
      <c r="O31" s="3"/>
    </row>
    <row r="32" spans="2:15" ht="12.95" customHeight="1" x14ac:dyDescent="0.45">
      <c r="B32" s="90"/>
      <c r="C32" s="87"/>
      <c r="D32" s="90"/>
      <c r="E32" s="92"/>
      <c r="F32" s="87"/>
      <c r="G32" s="87"/>
      <c r="H32" s="87"/>
      <c r="I32" s="92"/>
      <c r="J32" s="87"/>
      <c r="K32" s="87"/>
      <c r="L32" s="206"/>
      <c r="M32" s="203"/>
      <c r="N32" s="203"/>
      <c r="O32" s="3"/>
    </row>
    <row r="33" spans="2:15" x14ac:dyDescent="0.45">
      <c r="B33" s="93" t="s">
        <v>129</v>
      </c>
      <c r="C33" s="90"/>
      <c r="D33" s="90"/>
      <c r="E33" s="92"/>
      <c r="F33" s="87"/>
      <c r="G33" s="87"/>
      <c r="H33" s="87"/>
      <c r="I33" s="92"/>
      <c r="J33" s="87"/>
      <c r="K33" s="87"/>
      <c r="L33" s="206"/>
      <c r="M33" s="203"/>
      <c r="N33" s="203"/>
      <c r="O33" s="3"/>
    </row>
    <row r="34" spans="2:15" x14ac:dyDescent="0.45">
      <c r="B34" s="101" t="s">
        <v>131</v>
      </c>
      <c r="C34" s="90"/>
      <c r="D34" s="101" t="s">
        <v>132</v>
      </c>
      <c r="E34" s="92"/>
      <c r="F34" s="87"/>
      <c r="G34" s="87"/>
      <c r="H34" s="87"/>
      <c r="I34" s="92"/>
      <c r="J34" s="87"/>
      <c r="K34" s="87"/>
      <c r="L34" s="206" t="s">
        <v>135</v>
      </c>
      <c r="M34" s="206" t="s">
        <v>222</v>
      </c>
      <c r="N34" s="206" t="s">
        <v>759</v>
      </c>
      <c r="O34" s="3"/>
    </row>
    <row r="35" spans="2:15" x14ac:dyDescent="0.45">
      <c r="B35" s="87"/>
      <c r="C35" s="90"/>
      <c r="D35" s="90" t="s">
        <v>133</v>
      </c>
      <c r="E35" s="92"/>
      <c r="F35" s="87"/>
      <c r="G35" s="87"/>
      <c r="H35" s="87"/>
      <c r="I35" s="92"/>
      <c r="J35" s="87"/>
      <c r="K35" s="87"/>
      <c r="L35" s="207"/>
      <c r="M35" s="203"/>
      <c r="N35" s="203"/>
      <c r="O35" s="3"/>
    </row>
    <row r="36" spans="2:15" x14ac:dyDescent="0.45">
      <c r="B36" s="87"/>
      <c r="C36" s="90"/>
      <c r="D36" s="90" t="s">
        <v>134</v>
      </c>
      <c r="E36" s="92"/>
      <c r="F36" s="87"/>
      <c r="G36" s="87"/>
      <c r="H36" s="87"/>
      <c r="I36" s="90"/>
      <c r="J36" s="90"/>
      <c r="K36" s="87"/>
      <c r="L36" s="206" t="s">
        <v>136</v>
      </c>
      <c r="M36" s="203"/>
      <c r="N36" s="203"/>
      <c r="O36" s="3"/>
    </row>
    <row r="37" spans="2:15" x14ac:dyDescent="0.45">
      <c r="B37" s="87"/>
      <c r="C37" s="90"/>
      <c r="D37" s="90" t="s">
        <v>456</v>
      </c>
      <c r="E37" s="359">
        <v>1</v>
      </c>
      <c r="F37" s="87"/>
      <c r="G37" s="87"/>
      <c r="H37" s="87"/>
      <c r="I37" s="90"/>
      <c r="J37" s="90"/>
      <c r="K37" s="87"/>
      <c r="L37" s="206"/>
      <c r="M37" s="203"/>
      <c r="N37" s="203"/>
      <c r="O37" s="3"/>
    </row>
    <row r="38" spans="2:15" x14ac:dyDescent="0.45">
      <c r="B38" s="87"/>
      <c r="C38" s="90"/>
      <c r="D38" s="90"/>
      <c r="E38" s="92"/>
      <c r="F38" s="87"/>
      <c r="G38" s="87"/>
      <c r="H38" s="87"/>
      <c r="I38" s="90"/>
      <c r="J38" s="90"/>
      <c r="K38" s="87"/>
      <c r="L38" s="206"/>
      <c r="M38" s="203"/>
      <c r="N38" s="203"/>
      <c r="O38" s="3"/>
    </row>
    <row r="39" spans="2:15" x14ac:dyDescent="0.45">
      <c r="B39" s="87"/>
      <c r="C39" s="90"/>
      <c r="D39" s="90"/>
      <c r="E39" s="92"/>
      <c r="F39" s="87"/>
      <c r="G39" s="87"/>
      <c r="H39" s="87"/>
      <c r="I39" s="90"/>
      <c r="J39" s="90"/>
      <c r="K39" s="87"/>
      <c r="L39" s="206"/>
      <c r="M39" s="203"/>
      <c r="N39" s="203"/>
      <c r="O39" s="3"/>
    </row>
    <row r="40" spans="2:15" x14ac:dyDescent="0.45">
      <c r="B40" s="87"/>
      <c r="C40" s="90"/>
      <c r="D40" s="110" t="s">
        <v>455</v>
      </c>
      <c r="E40" s="358"/>
      <c r="F40" s="111" t="s">
        <v>454</v>
      </c>
      <c r="G40" s="87"/>
      <c r="H40" s="87"/>
      <c r="I40" s="90"/>
      <c r="J40" s="90"/>
      <c r="K40" s="87"/>
      <c r="L40" s="206"/>
      <c r="M40" s="203"/>
      <c r="N40" s="203"/>
      <c r="O40" s="3"/>
    </row>
    <row r="41" spans="2:15" x14ac:dyDescent="0.45">
      <c r="B41" s="87" t="s">
        <v>137</v>
      </c>
      <c r="C41" s="87" t="s">
        <v>24</v>
      </c>
      <c r="D41" s="117">
        <f>D6*$E$37*10^-6</f>
        <v>0</v>
      </c>
      <c r="E41" s="90"/>
      <c r="F41" s="117">
        <f>F6*$E$37*10^-6</f>
        <v>0</v>
      </c>
      <c r="G41" s="87"/>
      <c r="H41" s="90"/>
      <c r="I41" s="92"/>
      <c r="J41" s="90"/>
      <c r="K41" s="87" t="s">
        <v>138</v>
      </c>
      <c r="L41" s="206"/>
      <c r="M41" s="203"/>
      <c r="N41" s="203"/>
      <c r="O41" s="3"/>
    </row>
    <row r="42" spans="2:15" x14ac:dyDescent="0.45">
      <c r="B42" s="87"/>
      <c r="C42" s="87" t="s">
        <v>25</v>
      </c>
      <c r="D42" s="117">
        <f>D7*$E$37*10^-6</f>
        <v>0</v>
      </c>
      <c r="E42" s="90"/>
      <c r="F42" s="117">
        <f>F7*$E$37*10^-6</f>
        <v>0</v>
      </c>
      <c r="G42" s="87"/>
      <c r="H42" s="87"/>
      <c r="I42" s="92"/>
      <c r="J42" s="87"/>
      <c r="K42" s="87" t="s">
        <v>138</v>
      </c>
      <c r="L42" s="206"/>
      <c r="M42" s="203"/>
      <c r="N42" s="203"/>
      <c r="O42" s="3"/>
    </row>
    <row r="43" spans="2:15" x14ac:dyDescent="0.45">
      <c r="B43" s="87"/>
      <c r="C43" s="87" t="s">
        <v>26</v>
      </c>
      <c r="D43" s="117">
        <f>D8*$E$37*10^-6</f>
        <v>0</v>
      </c>
      <c r="E43" s="90"/>
      <c r="F43" s="117">
        <f>F8*$E$37*10^-6</f>
        <v>0</v>
      </c>
      <c r="G43" s="87"/>
      <c r="H43" s="87"/>
      <c r="I43" s="92"/>
      <c r="J43" s="87"/>
      <c r="K43" s="87" t="s">
        <v>138</v>
      </c>
      <c r="L43" s="206"/>
      <c r="M43" s="203"/>
      <c r="N43" s="203"/>
      <c r="O43" s="3"/>
    </row>
    <row r="44" spans="2:15" x14ac:dyDescent="0.45">
      <c r="B44" s="87"/>
      <c r="C44" s="87" t="s">
        <v>27</v>
      </c>
      <c r="D44" s="117">
        <f>D9*$E$37*10^-6</f>
        <v>0</v>
      </c>
      <c r="E44" s="90"/>
      <c r="F44" s="117">
        <f>F9*$E$37*10^-6</f>
        <v>0</v>
      </c>
      <c r="G44" s="87"/>
      <c r="H44" s="87"/>
      <c r="I44" s="90"/>
      <c r="J44" s="87"/>
      <c r="K44" s="87" t="s">
        <v>138</v>
      </c>
      <c r="L44" s="206"/>
      <c r="M44" s="203"/>
      <c r="N44" s="203"/>
      <c r="O44" s="3"/>
    </row>
    <row r="45" spans="2:15" x14ac:dyDescent="0.45">
      <c r="B45" s="87"/>
      <c r="C45" s="87"/>
      <c r="D45" s="117"/>
      <c r="E45" s="90"/>
      <c r="F45" s="87"/>
      <c r="G45" s="87"/>
      <c r="H45" s="87"/>
      <c r="I45" s="90"/>
      <c r="J45" s="87"/>
      <c r="K45" s="87"/>
      <c r="L45" s="206"/>
      <c r="M45" s="203"/>
      <c r="N45" s="203"/>
      <c r="O45" s="3"/>
    </row>
    <row r="46" spans="2:15" x14ac:dyDescent="0.45">
      <c r="B46" s="87"/>
      <c r="C46" s="87"/>
      <c r="D46" s="110" t="s">
        <v>455</v>
      </c>
      <c r="E46" s="358"/>
      <c r="F46" s="111" t="s">
        <v>454</v>
      </c>
      <c r="G46" s="87"/>
      <c r="H46" s="87"/>
      <c r="I46" s="87"/>
      <c r="J46" s="87"/>
      <c r="K46" s="87"/>
      <c r="L46" s="206"/>
      <c r="M46" s="203"/>
      <c r="N46" s="203"/>
      <c r="O46" s="3"/>
    </row>
    <row r="47" spans="2:15" x14ac:dyDescent="0.45">
      <c r="B47" s="87" t="s">
        <v>62</v>
      </c>
      <c r="C47" s="87" t="s">
        <v>24</v>
      </c>
      <c r="D47" s="117">
        <f>D12*1*10^-6</f>
        <v>0.10334000000000002</v>
      </c>
      <c r="E47" s="90"/>
      <c r="F47" s="117">
        <f>F12*1*10^-6</f>
        <v>0</v>
      </c>
      <c r="G47" s="87"/>
      <c r="H47" s="87"/>
      <c r="I47" s="87"/>
      <c r="J47" s="87"/>
      <c r="K47" s="87" t="s">
        <v>138</v>
      </c>
      <c r="L47" s="206"/>
      <c r="M47" s="203"/>
      <c r="N47" s="203"/>
      <c r="O47" s="3"/>
    </row>
    <row r="48" spans="2:15" x14ac:dyDescent="0.45">
      <c r="B48" s="87"/>
      <c r="C48" s="87" t="s">
        <v>25</v>
      </c>
      <c r="D48" s="117">
        <f>D13*1*10^-6</f>
        <v>0</v>
      </c>
      <c r="E48" s="90"/>
      <c r="F48" s="117">
        <f>F13*1*10^-6</f>
        <v>0</v>
      </c>
      <c r="G48" s="87"/>
      <c r="H48" s="87"/>
      <c r="I48" s="87"/>
      <c r="J48" s="87"/>
      <c r="K48" s="87" t="s">
        <v>138</v>
      </c>
      <c r="L48" s="206"/>
      <c r="M48" s="203"/>
      <c r="N48" s="203"/>
      <c r="O48" s="3"/>
    </row>
    <row r="49" spans="2:15" x14ac:dyDescent="0.45">
      <c r="B49" s="87"/>
      <c r="C49" s="87" t="s">
        <v>26</v>
      </c>
      <c r="D49" s="117">
        <f>D14*1*10^-6</f>
        <v>0.26860304999999995</v>
      </c>
      <c r="E49" s="90"/>
      <c r="F49" s="117">
        <f>F14*1*10^-6</f>
        <v>0</v>
      </c>
      <c r="G49" s="87"/>
      <c r="H49" s="87"/>
      <c r="I49" s="87"/>
      <c r="J49" s="87"/>
      <c r="K49" s="87" t="s">
        <v>138</v>
      </c>
      <c r="L49" s="206"/>
      <c r="M49" s="203"/>
      <c r="N49" s="203"/>
      <c r="O49" s="3"/>
    </row>
    <row r="50" spans="2:15" x14ac:dyDescent="0.45">
      <c r="B50" s="87"/>
      <c r="C50" s="87" t="s">
        <v>27</v>
      </c>
      <c r="D50" s="117">
        <f>D15*1*10^-6</f>
        <v>0</v>
      </c>
      <c r="E50" s="90"/>
      <c r="F50" s="117">
        <f>F15*1*10^-6</f>
        <v>0</v>
      </c>
      <c r="G50" s="87"/>
      <c r="H50" s="87"/>
      <c r="I50" s="87"/>
      <c r="J50" s="87"/>
      <c r="K50" s="87" t="s">
        <v>138</v>
      </c>
      <c r="L50" s="206"/>
      <c r="M50" s="203"/>
      <c r="N50" s="203"/>
      <c r="O50" s="3"/>
    </row>
    <row r="51" spans="2:15" x14ac:dyDescent="0.45">
      <c r="B51" s="87"/>
      <c r="C51" s="87"/>
      <c r="D51" s="87"/>
      <c r="E51" s="92"/>
      <c r="F51" s="87"/>
      <c r="G51" s="87"/>
      <c r="H51" s="87"/>
      <c r="I51" s="87"/>
      <c r="J51" s="87"/>
      <c r="K51" s="87"/>
      <c r="L51" s="206"/>
      <c r="M51" s="203"/>
      <c r="N51" s="203"/>
      <c r="O51" s="3"/>
    </row>
    <row r="52" spans="2:15" x14ac:dyDescent="0.45">
      <c r="B52" s="93" t="s">
        <v>129</v>
      </c>
      <c r="C52" s="90"/>
      <c r="D52" s="90"/>
      <c r="E52" s="92"/>
      <c r="F52" s="87"/>
      <c r="G52" s="87"/>
      <c r="H52" s="87"/>
      <c r="I52" s="92"/>
      <c r="J52" s="87"/>
      <c r="K52" s="87"/>
      <c r="L52" s="206"/>
      <c r="M52" s="203"/>
      <c r="N52" s="203"/>
      <c r="O52" s="3"/>
    </row>
    <row r="53" spans="2:15" x14ac:dyDescent="0.45">
      <c r="B53" s="101" t="s">
        <v>464</v>
      </c>
      <c r="C53" s="90"/>
      <c r="D53" s="101" t="s">
        <v>132</v>
      </c>
      <c r="E53" s="92"/>
      <c r="F53" s="87"/>
      <c r="G53" s="87"/>
      <c r="H53" s="87"/>
      <c r="I53" s="92"/>
      <c r="J53" s="87"/>
      <c r="K53" s="87"/>
      <c r="L53" s="206" t="s">
        <v>135</v>
      </c>
      <c r="M53" s="206" t="s">
        <v>222</v>
      </c>
      <c r="N53" s="206" t="s">
        <v>759</v>
      </c>
      <c r="O53" s="3"/>
    </row>
    <row r="54" spans="2:15" x14ac:dyDescent="0.45">
      <c r="B54" s="87"/>
      <c r="C54" s="90"/>
      <c r="D54" s="90" t="s">
        <v>133</v>
      </c>
      <c r="E54" s="92"/>
      <c r="F54" s="87"/>
      <c r="G54" s="87"/>
      <c r="H54" s="87"/>
      <c r="I54" s="92"/>
      <c r="J54" s="87"/>
      <c r="K54" s="87"/>
      <c r="L54" s="207"/>
      <c r="M54" s="203"/>
      <c r="N54" s="203"/>
      <c r="O54" s="3"/>
    </row>
    <row r="55" spans="2:15" x14ac:dyDescent="0.45">
      <c r="B55" s="87"/>
      <c r="C55" s="90"/>
      <c r="D55" s="90" t="s">
        <v>134</v>
      </c>
      <c r="E55" s="92"/>
      <c r="F55" s="87"/>
      <c r="G55" s="87"/>
      <c r="H55" s="87"/>
      <c r="I55" s="90"/>
      <c r="J55" s="90"/>
      <c r="K55" s="87"/>
      <c r="L55" s="206" t="s">
        <v>136</v>
      </c>
      <c r="M55" s="203"/>
      <c r="N55" s="203"/>
      <c r="O55" s="3"/>
    </row>
    <row r="56" spans="2:15" x14ac:dyDescent="0.45">
      <c r="B56" s="87"/>
      <c r="C56" s="90"/>
      <c r="D56" s="90" t="s">
        <v>456</v>
      </c>
      <c r="E56" s="359">
        <v>1</v>
      </c>
      <c r="F56" s="87"/>
      <c r="G56" s="87"/>
      <c r="H56" s="87"/>
      <c r="I56" s="90"/>
      <c r="J56" s="90"/>
      <c r="K56" s="87"/>
      <c r="L56" s="206"/>
      <c r="M56" s="203"/>
      <c r="N56" s="203"/>
      <c r="O56" s="3"/>
    </row>
    <row r="57" spans="2:15" x14ac:dyDescent="0.45">
      <c r="B57" s="87"/>
      <c r="C57" s="87"/>
      <c r="D57" s="87"/>
      <c r="E57" s="92"/>
      <c r="F57" s="87"/>
      <c r="G57" s="87"/>
      <c r="H57" s="87"/>
      <c r="I57" s="87"/>
      <c r="J57" s="87"/>
      <c r="K57" s="87"/>
      <c r="L57" s="206"/>
      <c r="M57" s="203"/>
      <c r="N57" s="203"/>
      <c r="O57" s="3"/>
    </row>
    <row r="58" spans="2:15" x14ac:dyDescent="0.45">
      <c r="B58" s="87"/>
      <c r="C58" s="87"/>
      <c r="D58" s="110" t="s">
        <v>455</v>
      </c>
      <c r="E58" s="358"/>
      <c r="F58" s="111" t="s">
        <v>454</v>
      </c>
      <c r="G58" s="87"/>
      <c r="H58" s="87"/>
      <c r="I58" s="87"/>
      <c r="J58" s="87"/>
      <c r="K58" s="87"/>
      <c r="L58" s="206"/>
      <c r="M58" s="203"/>
      <c r="N58" s="203"/>
      <c r="O58" s="3"/>
    </row>
    <row r="59" spans="2:15" x14ac:dyDescent="0.45">
      <c r="B59" s="87" t="s">
        <v>137</v>
      </c>
      <c r="C59" s="87" t="s">
        <v>24</v>
      </c>
      <c r="D59" s="117">
        <f>D18*$E$56*10^-6</f>
        <v>0</v>
      </c>
      <c r="E59" s="92"/>
      <c r="F59" s="117">
        <f>F18*$E$56*10^-6</f>
        <v>0</v>
      </c>
      <c r="G59" s="87"/>
      <c r="H59" s="87"/>
      <c r="I59" s="87"/>
      <c r="J59" s="87"/>
      <c r="K59" s="90" t="s">
        <v>138</v>
      </c>
      <c r="L59" s="206"/>
      <c r="M59" s="203"/>
      <c r="N59" s="203"/>
      <c r="O59" s="3"/>
    </row>
    <row r="60" spans="2:15" x14ac:dyDescent="0.45">
      <c r="B60" s="87"/>
      <c r="C60" s="87" t="s">
        <v>25</v>
      </c>
      <c r="D60" s="117">
        <f t="shared" ref="D60:F62" si="0">D19*$E$56*10^-6</f>
        <v>0</v>
      </c>
      <c r="E60" s="92"/>
      <c r="F60" s="117">
        <f t="shared" si="0"/>
        <v>0</v>
      </c>
      <c r="G60" s="87"/>
      <c r="H60" s="87"/>
      <c r="I60" s="87"/>
      <c r="J60" s="87"/>
      <c r="K60" s="87" t="s">
        <v>138</v>
      </c>
      <c r="L60" s="206"/>
      <c r="M60" s="203"/>
      <c r="N60" s="203"/>
      <c r="O60" s="3"/>
    </row>
    <row r="61" spans="2:15" x14ac:dyDescent="0.45">
      <c r="B61" s="87"/>
      <c r="C61" s="87" t="s">
        <v>26</v>
      </c>
      <c r="D61" s="117">
        <f t="shared" si="0"/>
        <v>0</v>
      </c>
      <c r="E61" s="92"/>
      <c r="F61" s="117">
        <f t="shared" si="0"/>
        <v>0</v>
      </c>
      <c r="G61" s="87"/>
      <c r="H61" s="87"/>
      <c r="I61" s="87"/>
      <c r="J61" s="87"/>
      <c r="K61" s="87" t="s">
        <v>138</v>
      </c>
      <c r="L61" s="206"/>
      <c r="M61" s="203"/>
      <c r="N61" s="203"/>
      <c r="O61" s="3"/>
    </row>
    <row r="62" spans="2:15" x14ac:dyDescent="0.45">
      <c r="B62" s="87"/>
      <c r="C62" s="87" t="s">
        <v>27</v>
      </c>
      <c r="D62" s="117">
        <f t="shared" si="0"/>
        <v>0</v>
      </c>
      <c r="E62" s="92"/>
      <c r="F62" s="117">
        <f t="shared" si="0"/>
        <v>0</v>
      </c>
      <c r="G62" s="87"/>
      <c r="H62" s="87"/>
      <c r="I62" s="87"/>
      <c r="J62" s="87"/>
      <c r="K62" s="87" t="s">
        <v>138</v>
      </c>
      <c r="L62" s="206"/>
      <c r="M62" s="203"/>
      <c r="N62" s="203"/>
      <c r="O62" s="3"/>
    </row>
    <row r="63" spans="2:15" x14ac:dyDescent="0.45">
      <c r="B63" s="87"/>
      <c r="C63" s="87"/>
      <c r="D63" s="87"/>
      <c r="E63" s="92"/>
      <c r="F63" s="87"/>
      <c r="G63" s="87"/>
      <c r="H63" s="87"/>
      <c r="I63" s="87"/>
      <c r="J63" s="87"/>
      <c r="K63" s="87"/>
      <c r="L63" s="206"/>
      <c r="M63" s="203"/>
      <c r="N63" s="203"/>
      <c r="O63" s="3"/>
    </row>
    <row r="64" spans="2:15" x14ac:dyDescent="0.45">
      <c r="B64" s="87"/>
      <c r="C64" s="87"/>
      <c r="D64" s="110" t="s">
        <v>455</v>
      </c>
      <c r="E64" s="358"/>
      <c r="F64" s="111" t="s">
        <v>454</v>
      </c>
      <c r="G64" s="87"/>
      <c r="H64" s="87"/>
      <c r="I64" s="87"/>
      <c r="J64" s="87"/>
      <c r="K64" s="87"/>
      <c r="L64" s="206"/>
      <c r="M64" s="203"/>
      <c r="N64" s="203"/>
      <c r="O64" s="3"/>
    </row>
    <row r="65" spans="2:15" x14ac:dyDescent="0.45">
      <c r="B65" s="87" t="s">
        <v>62</v>
      </c>
      <c r="C65" s="87" t="s">
        <v>24</v>
      </c>
      <c r="D65" s="117">
        <f>D24*$E$56*10^-6</f>
        <v>0</v>
      </c>
      <c r="E65" s="92"/>
      <c r="F65" s="117">
        <f>F24*$E$56*10^-6</f>
        <v>0</v>
      </c>
      <c r="G65" s="87"/>
      <c r="H65" s="87"/>
      <c r="I65" s="87"/>
      <c r="J65" s="87"/>
      <c r="K65" s="87" t="s">
        <v>138</v>
      </c>
      <c r="L65" s="206"/>
      <c r="M65" s="203"/>
      <c r="N65" s="203"/>
      <c r="O65" s="3"/>
    </row>
    <row r="66" spans="2:15" x14ac:dyDescent="0.45">
      <c r="B66" s="87"/>
      <c r="C66" s="87" t="s">
        <v>25</v>
      </c>
      <c r="D66" s="117">
        <f t="shared" ref="D66" si="1">D25*$E$56*10^-6</f>
        <v>0</v>
      </c>
      <c r="E66" s="92"/>
      <c r="F66" s="117">
        <f t="shared" ref="F66" si="2">F25*$E$56*10^-6</f>
        <v>0</v>
      </c>
      <c r="G66" s="87"/>
      <c r="H66" s="87"/>
      <c r="I66" s="87"/>
      <c r="J66" s="87"/>
      <c r="K66" s="87" t="s">
        <v>138</v>
      </c>
      <c r="L66" s="206"/>
      <c r="M66" s="203"/>
      <c r="N66" s="203"/>
      <c r="O66" s="3"/>
    </row>
    <row r="67" spans="2:15" x14ac:dyDescent="0.45">
      <c r="B67" s="87"/>
      <c r="C67" s="87" t="s">
        <v>26</v>
      </c>
      <c r="D67" s="117">
        <f t="shared" ref="D67" si="3">D26*$E$56*10^-6</f>
        <v>0</v>
      </c>
      <c r="E67" s="92"/>
      <c r="F67" s="117">
        <f t="shared" ref="F67" si="4">F26*$E$56*10^-6</f>
        <v>0</v>
      </c>
      <c r="G67" s="87"/>
      <c r="H67" s="87"/>
      <c r="I67" s="87"/>
      <c r="J67" s="87"/>
      <c r="K67" s="87" t="s">
        <v>138</v>
      </c>
      <c r="L67" s="206"/>
      <c r="M67" s="203"/>
      <c r="N67" s="203"/>
      <c r="O67" s="3"/>
    </row>
    <row r="68" spans="2:15" x14ac:dyDescent="0.45">
      <c r="B68" s="87"/>
      <c r="C68" s="87" t="s">
        <v>27</v>
      </c>
      <c r="D68" s="117">
        <f t="shared" ref="D68" si="5">D27*$E$56*10^-6</f>
        <v>0</v>
      </c>
      <c r="E68" s="92"/>
      <c r="F68" s="117">
        <f t="shared" ref="F68" si="6">F27*$E$56*10^-6</f>
        <v>0</v>
      </c>
      <c r="G68" s="87"/>
      <c r="H68" s="87"/>
      <c r="I68" s="87"/>
      <c r="J68" s="87"/>
      <c r="K68" s="87" t="s">
        <v>138</v>
      </c>
      <c r="L68" s="206"/>
      <c r="M68" s="203"/>
      <c r="N68" s="203"/>
      <c r="O68" s="3"/>
    </row>
    <row r="69" spans="2:15" x14ac:dyDescent="0.45">
      <c r="B69" s="87"/>
      <c r="C69" s="87"/>
      <c r="D69" s="87"/>
      <c r="E69" s="92"/>
      <c r="F69" s="87"/>
      <c r="G69" s="87"/>
      <c r="H69" s="87"/>
      <c r="I69" s="87"/>
      <c r="J69" s="87"/>
      <c r="K69" s="87"/>
      <c r="L69" s="206"/>
      <c r="M69" s="203"/>
      <c r="N69" s="203"/>
      <c r="O69" s="3"/>
    </row>
    <row r="70" spans="2:15" x14ac:dyDescent="0.45">
      <c r="B70" s="182" t="s">
        <v>144</v>
      </c>
      <c r="C70" s="183" t="s">
        <v>8</v>
      </c>
      <c r="D70" s="87"/>
      <c r="E70" s="87"/>
      <c r="F70" s="87"/>
      <c r="G70" s="87"/>
      <c r="H70" s="117"/>
      <c r="I70" s="87"/>
      <c r="J70" s="87"/>
      <c r="K70" s="87"/>
      <c r="L70" s="206" t="s">
        <v>143</v>
      </c>
      <c r="M70" s="206" t="s">
        <v>458</v>
      </c>
      <c r="N70" s="206" t="s">
        <v>204</v>
      </c>
      <c r="O70" s="3"/>
    </row>
    <row r="71" spans="2:15" x14ac:dyDescent="0.45">
      <c r="B71" s="106" t="s">
        <v>145</v>
      </c>
      <c r="C71" s="297">
        <v>4.0000000000000001E-3</v>
      </c>
      <c r="D71" s="87"/>
      <c r="E71" s="87"/>
      <c r="F71" s="87"/>
      <c r="G71" s="87"/>
      <c r="H71" s="117"/>
      <c r="I71" s="87"/>
      <c r="J71" s="87"/>
      <c r="K71" s="87"/>
      <c r="L71" s="206"/>
      <c r="M71" s="203"/>
      <c r="N71" s="203"/>
      <c r="O71" s="3"/>
    </row>
    <row r="72" spans="2:15" x14ac:dyDescent="0.45">
      <c r="B72" s="106" t="s">
        <v>146</v>
      </c>
      <c r="C72" s="297">
        <v>8.5000000000000006E-3</v>
      </c>
      <c r="D72" s="87"/>
      <c r="E72" s="87"/>
      <c r="F72" s="87"/>
      <c r="G72" s="87"/>
      <c r="H72" s="117"/>
      <c r="I72" s="87"/>
      <c r="J72" s="87"/>
      <c r="K72" s="87"/>
      <c r="L72" s="206"/>
      <c r="M72" s="203"/>
      <c r="N72" s="203"/>
      <c r="O72" s="3"/>
    </row>
    <row r="73" spans="2:15" x14ac:dyDescent="0.45">
      <c r="B73" s="105" t="s">
        <v>147</v>
      </c>
      <c r="C73" s="298">
        <v>2E-3</v>
      </c>
      <c r="D73" s="87"/>
      <c r="E73" s="87"/>
      <c r="F73" s="87"/>
      <c r="G73" s="87"/>
      <c r="H73" s="117"/>
      <c r="I73" s="87"/>
      <c r="J73" s="87"/>
      <c r="K73" s="87"/>
      <c r="L73" s="206"/>
      <c r="M73" s="203"/>
      <c r="N73" s="203"/>
      <c r="O73" s="3"/>
    </row>
    <row r="74" spans="2:15" x14ac:dyDescent="0.45">
      <c r="B74" s="212" t="s">
        <v>148</v>
      </c>
      <c r="C74" s="299">
        <v>2E-3</v>
      </c>
      <c r="D74" s="87"/>
      <c r="E74" s="87"/>
      <c r="F74" s="87"/>
      <c r="G74" s="87"/>
      <c r="H74" s="117"/>
      <c r="I74" s="87"/>
      <c r="J74" s="87"/>
      <c r="K74" s="87"/>
      <c r="L74" s="206"/>
      <c r="M74" s="203"/>
      <c r="N74" s="203"/>
      <c r="O74" s="3"/>
    </row>
    <row r="75" spans="2:15" x14ac:dyDescent="0.45">
      <c r="B75" s="93"/>
      <c r="C75" s="217"/>
      <c r="D75" s="87"/>
      <c r="E75" s="87"/>
      <c r="F75" s="87"/>
      <c r="G75" s="87"/>
      <c r="H75" s="117"/>
      <c r="I75" s="87"/>
      <c r="J75" s="87"/>
      <c r="K75" s="87"/>
      <c r="L75" s="206"/>
      <c r="M75" s="203"/>
      <c r="N75" s="203"/>
      <c r="O75" s="3"/>
    </row>
    <row r="76" spans="2:15" x14ac:dyDescent="0.45">
      <c r="B76" s="101" t="s">
        <v>122</v>
      </c>
      <c r="C76" s="102">
        <f>'GWP Factors'!C15</f>
        <v>1.5714285714285714</v>
      </c>
      <c r="D76" s="90"/>
      <c r="E76" s="92"/>
      <c r="F76" s="87"/>
      <c r="G76" s="87"/>
      <c r="H76" s="87"/>
      <c r="I76" s="92"/>
      <c r="J76" s="87"/>
      <c r="K76" s="90" t="s">
        <v>227</v>
      </c>
      <c r="L76" s="205"/>
      <c r="M76" s="210"/>
      <c r="N76" s="210"/>
      <c r="O76" s="3"/>
    </row>
    <row r="77" spans="2:15" x14ac:dyDescent="0.45">
      <c r="B77" s="87"/>
      <c r="C77" s="87"/>
      <c r="D77" s="87"/>
      <c r="E77" s="87"/>
      <c r="F77" s="87"/>
      <c r="G77" s="87"/>
      <c r="H77" s="117"/>
      <c r="I77" s="87"/>
      <c r="J77" s="87"/>
      <c r="K77" s="87"/>
      <c r="L77" s="206"/>
      <c r="M77" s="203"/>
      <c r="N77" s="203"/>
      <c r="O77" s="3"/>
    </row>
    <row r="78" spans="2:15" x14ac:dyDescent="0.45">
      <c r="B78" s="101" t="s">
        <v>139</v>
      </c>
      <c r="C78" s="87"/>
      <c r="D78" s="101" t="s">
        <v>140</v>
      </c>
      <c r="E78" s="92"/>
      <c r="F78" s="87"/>
      <c r="G78" s="87"/>
      <c r="H78" s="87"/>
      <c r="I78" s="87"/>
      <c r="J78" s="87"/>
      <c r="K78" s="87"/>
      <c r="L78" s="206" t="s">
        <v>141</v>
      </c>
      <c r="M78" s="206" t="s">
        <v>223</v>
      </c>
      <c r="N78" s="206" t="s">
        <v>759</v>
      </c>
      <c r="O78" s="3"/>
    </row>
    <row r="79" spans="2:15" x14ac:dyDescent="0.45">
      <c r="B79" s="87"/>
      <c r="C79" s="87"/>
      <c r="D79" s="90"/>
      <c r="E79" s="90"/>
      <c r="F79" s="90"/>
      <c r="G79" s="90"/>
      <c r="H79" s="90"/>
      <c r="I79" s="90"/>
      <c r="J79" s="90"/>
      <c r="K79" s="90"/>
      <c r="L79" s="206"/>
      <c r="M79" s="203"/>
      <c r="N79" s="203"/>
      <c r="O79" s="3"/>
    </row>
    <row r="80" spans="2:15" x14ac:dyDescent="0.45">
      <c r="B80" s="87"/>
      <c r="C80" s="87"/>
      <c r="D80" s="110" t="s">
        <v>455</v>
      </c>
      <c r="E80" s="358"/>
      <c r="F80" s="111" t="s">
        <v>454</v>
      </c>
      <c r="G80" s="87"/>
      <c r="H80" s="117"/>
      <c r="I80" s="87"/>
      <c r="J80" s="87"/>
      <c r="K80" s="114"/>
      <c r="L80" s="206"/>
      <c r="M80" s="203"/>
      <c r="N80" s="203"/>
      <c r="O80" s="3"/>
    </row>
    <row r="81" spans="2:16" x14ac:dyDescent="0.45">
      <c r="B81" s="87" t="s">
        <v>137</v>
      </c>
      <c r="C81" s="87" t="s">
        <v>24</v>
      </c>
      <c r="D81" s="361">
        <f>D41*$C$74*$C$76</f>
        <v>0</v>
      </c>
      <c r="E81" s="87"/>
      <c r="F81" s="360">
        <f>F41*$C$72*$C$76</f>
        <v>0</v>
      </c>
      <c r="G81" s="87"/>
      <c r="H81" s="117"/>
      <c r="I81" s="87"/>
      <c r="J81" s="87"/>
      <c r="K81" s="114" t="s">
        <v>123</v>
      </c>
      <c r="L81" s="206"/>
      <c r="M81" s="203"/>
      <c r="N81" s="203"/>
      <c r="O81" s="3"/>
    </row>
    <row r="82" spans="2:16" x14ac:dyDescent="0.45">
      <c r="B82" s="87"/>
      <c r="C82" s="87" t="s">
        <v>25</v>
      </c>
      <c r="D82" s="361">
        <f>D42*$C$74*$C$76</f>
        <v>0</v>
      </c>
      <c r="E82" s="87"/>
      <c r="F82" s="360">
        <f>F42*$C$72*$C$76</f>
        <v>0</v>
      </c>
      <c r="G82" s="87"/>
      <c r="H82" s="117"/>
      <c r="I82" s="87"/>
      <c r="J82" s="87"/>
      <c r="K82" s="114" t="s">
        <v>123</v>
      </c>
      <c r="L82" s="206"/>
      <c r="M82" s="203"/>
      <c r="N82" s="203"/>
      <c r="O82" s="3"/>
    </row>
    <row r="83" spans="2:16" x14ac:dyDescent="0.45">
      <c r="B83" s="87"/>
      <c r="C83" s="87" t="s">
        <v>26</v>
      </c>
      <c r="D83" s="361">
        <f>D43*$C$74*$C$76</f>
        <v>0</v>
      </c>
      <c r="E83" s="87"/>
      <c r="F83" s="360">
        <f>F43*$C$72*$C$76</f>
        <v>0</v>
      </c>
      <c r="G83" s="87"/>
      <c r="H83" s="117"/>
      <c r="I83" s="87"/>
      <c r="J83" s="87"/>
      <c r="K83" s="114" t="s">
        <v>123</v>
      </c>
      <c r="L83" s="206"/>
      <c r="M83" s="203"/>
      <c r="N83" s="203"/>
      <c r="O83" s="3"/>
    </row>
    <row r="84" spans="2:16" x14ac:dyDescent="0.45">
      <c r="B84" s="87"/>
      <c r="C84" s="87" t="s">
        <v>27</v>
      </c>
      <c r="D84" s="361">
        <f>D44*$C$74*$C$76</f>
        <v>0</v>
      </c>
      <c r="E84" s="87"/>
      <c r="F84" s="360">
        <f>F44*$C$72*$C$76</f>
        <v>0</v>
      </c>
      <c r="G84" s="87"/>
      <c r="H84" s="117"/>
      <c r="I84" s="87"/>
      <c r="J84" s="87"/>
      <c r="K84" s="114" t="s">
        <v>123</v>
      </c>
      <c r="L84" s="206"/>
      <c r="M84" s="203"/>
      <c r="N84" s="203"/>
      <c r="O84" s="3"/>
    </row>
    <row r="85" spans="2:16" x14ac:dyDescent="0.45">
      <c r="B85" s="87"/>
      <c r="C85" s="87"/>
      <c r="D85" s="87"/>
      <c r="E85" s="87"/>
      <c r="F85" s="87"/>
      <c r="G85" s="87"/>
      <c r="H85" s="117"/>
      <c r="I85" s="87"/>
      <c r="J85" s="87"/>
      <c r="K85" s="87"/>
      <c r="L85" s="206"/>
      <c r="M85" s="203"/>
      <c r="N85" s="203"/>
      <c r="O85" s="3"/>
    </row>
    <row r="86" spans="2:16" x14ac:dyDescent="0.45">
      <c r="B86" s="87"/>
      <c r="C86" s="87"/>
      <c r="D86" s="110" t="s">
        <v>455</v>
      </c>
      <c r="E86" s="358"/>
      <c r="F86" s="111" t="s">
        <v>454</v>
      </c>
      <c r="G86" s="87"/>
      <c r="H86" s="117"/>
      <c r="I86" s="87"/>
      <c r="J86" s="87"/>
      <c r="K86" s="114"/>
      <c r="L86" s="206"/>
      <c r="M86" s="203"/>
      <c r="N86" s="203"/>
      <c r="O86" s="3"/>
    </row>
    <row r="87" spans="2:16" x14ac:dyDescent="0.45">
      <c r="B87" s="87" t="s">
        <v>62</v>
      </c>
      <c r="C87" s="87" t="s">
        <v>24</v>
      </c>
      <c r="D87" s="362">
        <f>D47*$C$73*$C$76</f>
        <v>3.247828571428572E-4</v>
      </c>
      <c r="E87" s="87"/>
      <c r="F87" s="360">
        <f>F47*$C$73*$C$76</f>
        <v>0</v>
      </c>
      <c r="G87" s="87"/>
      <c r="H87" s="117"/>
      <c r="I87" s="87"/>
      <c r="J87" s="87"/>
      <c r="K87" s="114" t="s">
        <v>123</v>
      </c>
      <c r="L87" s="206"/>
      <c r="M87" s="203"/>
      <c r="N87" s="203"/>
      <c r="O87" s="3"/>
    </row>
    <row r="88" spans="2:16" x14ac:dyDescent="0.45">
      <c r="B88" s="87"/>
      <c r="C88" s="87" t="s">
        <v>25</v>
      </c>
      <c r="D88" s="362">
        <f>D48*$C$73*$C$76</f>
        <v>0</v>
      </c>
      <c r="E88" s="87"/>
      <c r="F88" s="360">
        <f>F48*$C$73*$C$76</f>
        <v>0</v>
      </c>
      <c r="G88" s="87"/>
      <c r="H88" s="117"/>
      <c r="I88" s="87"/>
      <c r="J88" s="87"/>
      <c r="K88" s="114" t="s">
        <v>123</v>
      </c>
      <c r="L88" s="206"/>
      <c r="M88" s="203"/>
      <c r="N88" s="203"/>
      <c r="O88" s="3"/>
    </row>
    <row r="89" spans="2:16" x14ac:dyDescent="0.45">
      <c r="B89" s="87"/>
      <c r="C89" s="87" t="s">
        <v>26</v>
      </c>
      <c r="D89" s="362">
        <f>D49*$C$73*$C$76</f>
        <v>8.4418101428571416E-4</v>
      </c>
      <c r="E89" s="87"/>
      <c r="F89" s="360">
        <f>F49*$C$73*$C$76</f>
        <v>0</v>
      </c>
      <c r="G89" s="87"/>
      <c r="H89" s="117"/>
      <c r="I89" s="87"/>
      <c r="J89" s="87"/>
      <c r="K89" s="114" t="s">
        <v>123</v>
      </c>
      <c r="L89" s="206"/>
      <c r="M89" s="203"/>
      <c r="N89" s="203"/>
      <c r="O89" s="3"/>
    </row>
    <row r="90" spans="2:16" x14ac:dyDescent="0.45">
      <c r="B90" s="87"/>
      <c r="C90" s="87" t="s">
        <v>27</v>
      </c>
      <c r="D90" s="362">
        <f>D50*$C$73*$C$76</f>
        <v>0</v>
      </c>
      <c r="E90" s="87"/>
      <c r="F90" s="360">
        <f>F50*$C$73*$C$76</f>
        <v>0</v>
      </c>
      <c r="G90" s="87"/>
      <c r="H90" s="117"/>
      <c r="I90" s="87"/>
      <c r="J90" s="87"/>
      <c r="K90" s="114" t="s">
        <v>123</v>
      </c>
      <c r="L90" s="206"/>
      <c r="M90" s="203"/>
      <c r="N90" s="203"/>
      <c r="O90" s="3"/>
    </row>
    <row r="91" spans="2:16" x14ac:dyDescent="0.45">
      <c r="B91" s="87"/>
      <c r="C91" s="87"/>
      <c r="D91" s="87"/>
      <c r="E91" s="87"/>
      <c r="F91" s="87"/>
      <c r="G91" s="87"/>
      <c r="H91" s="117"/>
      <c r="I91" s="87"/>
      <c r="J91" s="87"/>
      <c r="K91" s="87"/>
      <c r="L91" s="206"/>
      <c r="M91" s="203"/>
      <c r="N91" s="203"/>
      <c r="O91" s="13"/>
      <c r="P91" s="13"/>
    </row>
    <row r="92" spans="2:16" x14ac:dyDescent="0.45">
      <c r="B92" s="101" t="s">
        <v>457</v>
      </c>
      <c r="C92" s="87"/>
      <c r="D92" s="101" t="s">
        <v>140</v>
      </c>
      <c r="E92" s="87"/>
      <c r="F92" s="87"/>
      <c r="G92" s="87"/>
      <c r="H92" s="117"/>
      <c r="I92" s="87"/>
      <c r="J92" s="87"/>
      <c r="K92" s="87"/>
      <c r="L92" s="206" t="s">
        <v>761</v>
      </c>
      <c r="M92" s="206" t="s">
        <v>226</v>
      </c>
      <c r="N92" s="206" t="s">
        <v>197</v>
      </c>
      <c r="O92" s="13"/>
      <c r="P92" s="13"/>
    </row>
    <row r="93" spans="2:16" x14ac:dyDescent="0.45">
      <c r="B93" s="87"/>
      <c r="C93" s="87"/>
      <c r="D93" s="87"/>
      <c r="E93" s="87"/>
      <c r="F93" s="87"/>
      <c r="G93" s="87"/>
      <c r="H93" s="117"/>
      <c r="I93" s="87"/>
      <c r="J93" s="87"/>
      <c r="K93" s="87"/>
      <c r="L93" s="206"/>
      <c r="M93" s="203"/>
      <c r="N93" s="203"/>
      <c r="O93" s="14"/>
      <c r="P93" s="13"/>
    </row>
    <row r="94" spans="2:16" x14ac:dyDescent="0.45">
      <c r="B94" s="87"/>
      <c r="C94" s="87"/>
      <c r="D94" s="87" t="s">
        <v>224</v>
      </c>
      <c r="E94" s="87">
        <v>8.9999999999999993E-3</v>
      </c>
      <c r="F94" s="87"/>
      <c r="G94" s="87"/>
      <c r="H94" s="117"/>
      <c r="I94" s="87"/>
      <c r="J94" s="87"/>
      <c r="K94" s="87" t="s">
        <v>142</v>
      </c>
      <c r="L94" s="206"/>
      <c r="M94" s="203"/>
      <c r="N94" s="203"/>
      <c r="O94" s="13"/>
      <c r="P94" s="13"/>
    </row>
    <row r="95" spans="2:16" x14ac:dyDescent="0.45">
      <c r="B95" s="87"/>
      <c r="C95" s="87"/>
      <c r="D95" s="87" t="s">
        <v>225</v>
      </c>
      <c r="E95" s="117">
        <f>'GWP Factors'!C15</f>
        <v>1.5714285714285714</v>
      </c>
      <c r="F95" s="87"/>
      <c r="G95" s="87"/>
      <c r="H95" s="117"/>
      <c r="I95" s="87"/>
      <c r="J95" s="87"/>
      <c r="K95" s="87"/>
      <c r="L95" s="206"/>
      <c r="M95" s="203"/>
      <c r="N95" s="203"/>
      <c r="O95" s="13"/>
      <c r="P95" s="13"/>
    </row>
    <row r="96" spans="2:16" x14ac:dyDescent="0.45">
      <c r="B96" s="87"/>
      <c r="C96" s="87"/>
      <c r="D96" s="87"/>
      <c r="E96" s="87"/>
      <c r="F96" s="87"/>
      <c r="G96" s="87"/>
      <c r="H96" s="117"/>
      <c r="I96" s="87"/>
      <c r="J96" s="87"/>
      <c r="K96" s="87"/>
      <c r="L96" s="206"/>
      <c r="M96" s="203"/>
      <c r="N96" s="203"/>
      <c r="O96" s="13"/>
      <c r="P96" s="13"/>
    </row>
    <row r="97" spans="2:16" x14ac:dyDescent="0.45">
      <c r="B97" s="87"/>
      <c r="C97" s="87"/>
      <c r="D97" s="110" t="s">
        <v>455</v>
      </c>
      <c r="E97" s="358"/>
      <c r="F97" s="111" t="s">
        <v>454</v>
      </c>
      <c r="G97" s="87"/>
      <c r="H97" s="117"/>
      <c r="I97" s="87"/>
      <c r="J97" s="87"/>
      <c r="K97" s="87"/>
      <c r="L97" s="206"/>
      <c r="M97" s="203"/>
      <c r="N97" s="203"/>
      <c r="O97" s="13"/>
      <c r="P97" s="13"/>
    </row>
    <row r="98" spans="2:16" x14ac:dyDescent="0.45">
      <c r="B98" s="87"/>
      <c r="C98" s="87" t="s">
        <v>24</v>
      </c>
      <c r="D98" s="360">
        <f>D59*$E$94*$E$95</f>
        <v>0</v>
      </c>
      <c r="E98" s="87"/>
      <c r="F98" s="360">
        <f>F59*$E$94*$E$95</f>
        <v>0</v>
      </c>
      <c r="G98" s="87"/>
      <c r="H98" s="117"/>
      <c r="I98" s="87"/>
      <c r="J98" s="87"/>
      <c r="K98" s="114" t="s">
        <v>123</v>
      </c>
      <c r="L98" s="206"/>
      <c r="M98" s="203"/>
      <c r="N98" s="203"/>
      <c r="O98" s="13"/>
      <c r="P98" s="13"/>
    </row>
    <row r="99" spans="2:16" x14ac:dyDescent="0.45">
      <c r="B99" s="87"/>
      <c r="C99" s="87" t="s">
        <v>25</v>
      </c>
      <c r="D99" s="360">
        <f t="shared" ref="D99:F101" si="7">D60*$E$94*$E$95</f>
        <v>0</v>
      </c>
      <c r="E99" s="87"/>
      <c r="F99" s="360">
        <f t="shared" si="7"/>
        <v>0</v>
      </c>
      <c r="G99" s="87"/>
      <c r="H99" s="117"/>
      <c r="I99" s="87"/>
      <c r="J99" s="87"/>
      <c r="K99" s="114" t="s">
        <v>123</v>
      </c>
      <c r="L99" s="206"/>
      <c r="M99" s="203"/>
      <c r="N99" s="203"/>
      <c r="O99" s="13"/>
      <c r="P99" s="13"/>
    </row>
    <row r="100" spans="2:16" x14ac:dyDescent="0.45">
      <c r="B100" s="87"/>
      <c r="C100" s="87" t="s">
        <v>26</v>
      </c>
      <c r="D100" s="360">
        <f t="shared" si="7"/>
        <v>0</v>
      </c>
      <c r="E100" s="87"/>
      <c r="F100" s="360">
        <f t="shared" si="7"/>
        <v>0</v>
      </c>
      <c r="G100" s="87"/>
      <c r="H100" s="117"/>
      <c r="I100" s="87"/>
      <c r="J100" s="87"/>
      <c r="K100" s="114" t="s">
        <v>123</v>
      </c>
      <c r="L100" s="206"/>
      <c r="M100" s="203"/>
      <c r="N100" s="203"/>
      <c r="O100" s="13"/>
      <c r="P100" s="13"/>
    </row>
    <row r="101" spans="2:16" x14ac:dyDescent="0.45">
      <c r="B101" s="87"/>
      <c r="C101" s="87" t="s">
        <v>27</v>
      </c>
      <c r="D101" s="360">
        <f t="shared" si="7"/>
        <v>0</v>
      </c>
      <c r="E101" s="87"/>
      <c r="F101" s="360">
        <f t="shared" si="7"/>
        <v>0</v>
      </c>
      <c r="G101" s="87"/>
      <c r="H101" s="117"/>
      <c r="I101" s="87"/>
      <c r="J101" s="87"/>
      <c r="K101" s="114" t="s">
        <v>123</v>
      </c>
      <c r="L101" s="206"/>
      <c r="M101" s="203"/>
      <c r="N101" s="203"/>
      <c r="O101" s="13"/>
      <c r="P101" s="13"/>
    </row>
    <row r="102" spans="2:16" x14ac:dyDescent="0.45">
      <c r="B102" s="87"/>
      <c r="C102" s="87"/>
      <c r="D102" s="87"/>
      <c r="E102" s="87"/>
      <c r="F102" s="87"/>
      <c r="G102" s="87"/>
      <c r="H102" s="117"/>
      <c r="I102" s="87"/>
      <c r="J102" s="87"/>
      <c r="K102" s="87"/>
      <c r="L102" s="206"/>
      <c r="M102" s="203"/>
      <c r="N102" s="203"/>
      <c r="O102" s="13"/>
      <c r="P102" s="13"/>
    </row>
    <row r="103" spans="2:16" x14ac:dyDescent="0.45">
      <c r="B103" s="87"/>
      <c r="C103" s="87"/>
      <c r="D103" s="110" t="s">
        <v>455</v>
      </c>
      <c r="E103" s="358"/>
      <c r="F103" s="111" t="s">
        <v>454</v>
      </c>
      <c r="G103" s="87"/>
      <c r="H103" s="117"/>
      <c r="I103" s="87"/>
      <c r="J103" s="87"/>
      <c r="K103" s="87"/>
      <c r="L103" s="206"/>
      <c r="M103" s="203"/>
      <c r="N103" s="203"/>
      <c r="O103" s="13"/>
      <c r="P103" s="13"/>
    </row>
    <row r="104" spans="2:16" x14ac:dyDescent="0.45">
      <c r="B104" s="87"/>
      <c r="C104" s="87" t="s">
        <v>24</v>
      </c>
      <c r="D104" s="360">
        <f>D65*$E$94*$E$95</f>
        <v>0</v>
      </c>
      <c r="E104" s="87"/>
      <c r="F104" s="360">
        <f>F65*$E$94*$E$95</f>
        <v>0</v>
      </c>
      <c r="G104" s="87"/>
      <c r="H104" s="117"/>
      <c r="I104" s="87"/>
      <c r="J104" s="87"/>
      <c r="K104" s="114" t="s">
        <v>123</v>
      </c>
      <c r="L104" s="206"/>
      <c r="M104" s="203"/>
      <c r="N104" s="203"/>
      <c r="O104" s="13"/>
      <c r="P104" s="13"/>
    </row>
    <row r="105" spans="2:16" x14ac:dyDescent="0.45">
      <c r="B105" s="87"/>
      <c r="C105" s="87" t="s">
        <v>25</v>
      </c>
      <c r="D105" s="360">
        <f t="shared" ref="D105" si="8">D66*$E$94*$E$95</f>
        <v>0</v>
      </c>
      <c r="E105" s="87"/>
      <c r="F105" s="360">
        <f t="shared" ref="F105" si="9">F66*$E$94*$E$95</f>
        <v>0</v>
      </c>
      <c r="G105" s="87"/>
      <c r="H105" s="117"/>
      <c r="I105" s="87"/>
      <c r="J105" s="87"/>
      <c r="K105" s="114" t="s">
        <v>123</v>
      </c>
      <c r="L105" s="206"/>
      <c r="M105" s="203"/>
      <c r="N105" s="203"/>
      <c r="O105" s="13"/>
      <c r="P105" s="13"/>
    </row>
    <row r="106" spans="2:16" x14ac:dyDescent="0.45">
      <c r="B106" s="87"/>
      <c r="C106" s="87" t="s">
        <v>26</v>
      </c>
      <c r="D106" s="360">
        <f t="shared" ref="D106" si="10">D67*$E$94*$E$95</f>
        <v>0</v>
      </c>
      <c r="E106" s="87"/>
      <c r="F106" s="360">
        <f t="shared" ref="F106" si="11">F67*$E$94*$E$95</f>
        <v>0</v>
      </c>
      <c r="G106" s="87"/>
      <c r="H106" s="117"/>
      <c r="I106" s="87"/>
      <c r="J106" s="87"/>
      <c r="K106" s="114" t="s">
        <v>123</v>
      </c>
      <c r="L106" s="206"/>
      <c r="M106" s="203"/>
      <c r="N106" s="203"/>
      <c r="O106" s="13"/>
      <c r="P106" s="13"/>
    </row>
    <row r="107" spans="2:16" x14ac:dyDescent="0.45">
      <c r="B107" s="87"/>
      <c r="C107" s="87" t="s">
        <v>27</v>
      </c>
      <c r="D107" s="360">
        <f t="shared" ref="D107" si="12">D68*$E$94*$E$95</f>
        <v>0</v>
      </c>
      <c r="E107" s="87"/>
      <c r="F107" s="360">
        <f t="shared" ref="F107" si="13">F68*$E$94*$E$95</f>
        <v>0</v>
      </c>
      <c r="G107" s="87"/>
      <c r="H107" s="117"/>
      <c r="I107" s="87"/>
      <c r="J107" s="87"/>
      <c r="K107" s="114" t="s">
        <v>123</v>
      </c>
      <c r="L107" s="206"/>
      <c r="M107" s="203"/>
      <c r="N107" s="203"/>
      <c r="O107" s="13"/>
      <c r="P107" s="13"/>
    </row>
    <row r="108" spans="2:16" x14ac:dyDescent="0.45">
      <c r="B108" s="101"/>
      <c r="C108" s="87"/>
      <c r="D108" s="93"/>
      <c r="E108" s="90"/>
      <c r="F108" s="90"/>
      <c r="G108" s="87"/>
      <c r="H108" s="87"/>
      <c r="I108" s="87"/>
      <c r="J108" s="87"/>
      <c r="K108" s="90"/>
      <c r="L108" s="206"/>
      <c r="M108" s="203"/>
      <c r="N108" s="203"/>
      <c r="O108" s="13"/>
      <c r="P108" s="13"/>
    </row>
    <row r="109" spans="2:16" x14ac:dyDescent="0.45">
      <c r="B109" s="544" t="s">
        <v>775</v>
      </c>
      <c r="C109" s="117">
        <f>SUM(D81:D84,F81:F84,D87:D90,F87:F90,D98:D101,F98:F101,D104:D107,F104:F107)</f>
        <v>1.1689638714285713E-3</v>
      </c>
      <c r="D109" s="87"/>
      <c r="E109" s="90"/>
      <c r="F109" s="90"/>
      <c r="G109" s="87"/>
      <c r="H109" s="87"/>
      <c r="I109" s="87"/>
      <c r="J109" s="87"/>
      <c r="K109" s="90" t="s">
        <v>126</v>
      </c>
      <c r="L109" s="206"/>
      <c r="M109" s="203"/>
      <c r="N109" s="203"/>
      <c r="O109" s="13"/>
      <c r="P109" s="13"/>
    </row>
    <row r="110" spans="2:16" x14ac:dyDescent="0.45">
      <c r="B110" s="544" t="s">
        <v>775</v>
      </c>
      <c r="C110" s="117">
        <f>C109*'GWP Factors'!C6</f>
        <v>0.34835123368571425</v>
      </c>
      <c r="D110" s="87"/>
      <c r="E110" s="90"/>
      <c r="F110" s="90"/>
      <c r="G110" s="87"/>
      <c r="H110" s="87"/>
      <c r="I110" s="87"/>
      <c r="J110" s="87"/>
      <c r="K110" s="90" t="s">
        <v>89</v>
      </c>
      <c r="L110" s="206"/>
      <c r="M110" s="203"/>
      <c r="N110" s="203"/>
      <c r="O110" s="13"/>
      <c r="P110" s="13"/>
    </row>
    <row r="111" spans="2:16" x14ac:dyDescent="0.45">
      <c r="B111" s="545" t="s">
        <v>775</v>
      </c>
      <c r="C111" s="214">
        <f>C110*10^3</f>
        <v>348.35123368571425</v>
      </c>
      <c r="D111" s="94"/>
      <c r="E111" s="94"/>
      <c r="F111" s="94"/>
      <c r="G111" s="94"/>
      <c r="H111" s="94"/>
      <c r="I111" s="94"/>
      <c r="J111" s="94"/>
      <c r="K111" s="94" t="s">
        <v>90</v>
      </c>
      <c r="L111" s="208"/>
      <c r="M111" s="211"/>
      <c r="N111" s="211"/>
      <c r="O111" s="13"/>
      <c r="P111" s="13"/>
    </row>
    <row r="112" spans="2:16" x14ac:dyDescent="0.45">
      <c r="B112" s="93"/>
      <c r="C112" s="317"/>
      <c r="D112" s="87"/>
      <c r="E112" s="87"/>
      <c r="F112" s="87"/>
      <c r="G112" s="87"/>
      <c r="H112" s="87"/>
      <c r="I112" s="87"/>
      <c r="J112" s="87"/>
      <c r="K112" s="87"/>
      <c r="L112" s="206"/>
      <c r="M112" s="203"/>
      <c r="N112" s="203"/>
      <c r="O112" s="13"/>
      <c r="P112" s="13"/>
    </row>
    <row r="113" spans="2:16" x14ac:dyDescent="0.45">
      <c r="B113" s="101" t="s">
        <v>56</v>
      </c>
      <c r="C113" s="87"/>
      <c r="D113" s="87"/>
      <c r="E113" s="90"/>
      <c r="F113" s="90"/>
      <c r="G113" s="87"/>
      <c r="H113" s="87"/>
      <c r="I113" s="87"/>
      <c r="J113" s="87"/>
      <c r="K113" s="90"/>
      <c r="L113" s="206"/>
      <c r="M113" s="203"/>
      <c r="N113" s="203"/>
      <c r="O113" s="13"/>
      <c r="P113" s="13"/>
    </row>
    <row r="114" spans="2:16" x14ac:dyDescent="0.45">
      <c r="B114" s="103" t="s">
        <v>117</v>
      </c>
      <c r="C114" s="104" t="s">
        <v>72</v>
      </c>
      <c r="D114" s="104" t="str">
        <f>'Data input'!D9</f>
        <v>Bulls &gt;1</v>
      </c>
      <c r="E114" s="104" t="str">
        <f>'Data input'!E9</f>
        <v>Bulls&lt;1</v>
      </c>
      <c r="F114" s="104" t="str">
        <f>'Data input'!F9</f>
        <v>Steers&lt;1</v>
      </c>
      <c r="G114" s="104" t="str">
        <f>'Data input'!G9</f>
        <v>Cows 1 to 2</v>
      </c>
      <c r="H114" s="104" t="str">
        <f>'Data input'!H9</f>
        <v>Cows &gt;2</v>
      </c>
      <c r="I114" s="104" t="str">
        <f>'Data input'!I9</f>
        <v>Cows&lt;1</v>
      </c>
      <c r="J114" s="104" t="str">
        <f>'Data input'!J9</f>
        <v>Steers&gt;1</v>
      </c>
      <c r="K114" s="115" t="str">
        <f>'Data input'!K9</f>
        <v>Units</v>
      </c>
      <c r="L114" s="303"/>
      <c r="M114" s="203"/>
      <c r="N114" s="203"/>
      <c r="O114" s="13"/>
      <c r="P114" s="13"/>
    </row>
    <row r="115" spans="2:16" x14ac:dyDescent="0.45">
      <c r="B115" s="106"/>
      <c r="C115" s="104" t="s">
        <v>24</v>
      </c>
      <c r="D115" s="300">
        <f>'Nitrous Oxide MMS'!O51</f>
        <v>6.7189254047001835E-4</v>
      </c>
      <c r="E115" s="300">
        <f>'Nitrous Oxide MMS'!P51</f>
        <v>6.7064796716102563E-5</v>
      </c>
      <c r="F115" s="300">
        <f>'Nitrous Oxide MMS'!Q51</f>
        <v>2.9741032526346516E-3</v>
      </c>
      <c r="G115" s="300">
        <f>'Nitrous Oxide MMS'!R51</f>
        <v>5.2571961854605128E-3</v>
      </c>
      <c r="H115" s="300">
        <f>'Nitrous Oxide MMS'!S51</f>
        <v>2.3007900447172668E-2</v>
      </c>
      <c r="I115" s="300">
        <f>'Nitrous Oxide MMS'!T51</f>
        <v>3.0534207446037279E-3</v>
      </c>
      <c r="J115" s="300">
        <f>'Nitrous Oxide MMS'!U51</f>
        <v>5.8502950377589836E-3</v>
      </c>
      <c r="K115" s="304" t="str">
        <f>'Nitrous Oxide MMS'!V51</f>
        <v>Gg/farm/season</v>
      </c>
      <c r="L115" s="205"/>
      <c r="M115" s="203"/>
      <c r="N115" s="203"/>
      <c r="O115" s="13"/>
      <c r="P115" s="13"/>
    </row>
    <row r="116" spans="2:16" x14ac:dyDescent="0.45">
      <c r="B116" s="106"/>
      <c r="C116" s="87" t="s">
        <v>25</v>
      </c>
      <c r="D116" s="301">
        <f>'Nitrous Oxide MMS'!O52</f>
        <v>8.3173744498017297E-4</v>
      </c>
      <c r="E116" s="301">
        <f>'Nitrous Oxide MMS'!P52</f>
        <v>1.0516001160367626E-4</v>
      </c>
      <c r="F116" s="301">
        <f>'Nitrous Oxide MMS'!Q52</f>
        <v>5.5070578910125581E-3</v>
      </c>
      <c r="G116" s="301">
        <f>'Nitrous Oxide MMS'!R52</f>
        <v>6.7345467597118257E-3</v>
      </c>
      <c r="H116" s="301">
        <f>'Nitrous Oxide MMS'!S52</f>
        <v>2.2945769955694865E-2</v>
      </c>
      <c r="I116" s="301">
        <f>'Nitrous Oxide MMS'!T52</f>
        <v>5.3600299888766512E-3</v>
      </c>
      <c r="J116" s="301">
        <f>'Nitrous Oxide MMS'!U52</f>
        <v>5.7570114377465762E-3</v>
      </c>
      <c r="K116" s="305" t="str">
        <f>'Nitrous Oxide MMS'!V52</f>
        <v>Gg/farm/season</v>
      </c>
      <c r="L116" s="205"/>
      <c r="M116" s="203"/>
      <c r="N116" s="203"/>
    </row>
    <row r="117" spans="2:16" x14ac:dyDescent="0.45">
      <c r="B117" s="106"/>
      <c r="C117" s="87" t="s">
        <v>26</v>
      </c>
      <c r="D117" s="301">
        <f>'Nitrous Oxide MMS'!O53</f>
        <v>6.7451068471876283E-4</v>
      </c>
      <c r="E117" s="301">
        <f>'Nitrous Oxide MMS'!P53</f>
        <v>1.0842079187015236E-4</v>
      </c>
      <c r="F117" s="301">
        <f>'Nitrous Oxide MMS'!Q53</f>
        <v>5.1114094384390315E-3</v>
      </c>
      <c r="G117" s="301">
        <f>'Nitrous Oxide MMS'!R53</f>
        <v>4.7684689111213811E-3</v>
      </c>
      <c r="H117" s="301">
        <f>'Nitrous Oxide MMS'!S53</f>
        <v>1.3881520411288199E-2</v>
      </c>
      <c r="I117" s="301">
        <f>'Nitrous Oxide MMS'!T53</f>
        <v>5.2845030220814168E-3</v>
      </c>
      <c r="J117" s="301">
        <f>'Nitrous Oxide MMS'!U53</f>
        <v>8.1334825011699567E-4</v>
      </c>
      <c r="K117" s="305" t="str">
        <f>'Nitrous Oxide MMS'!V53</f>
        <v>Gg/farm/season</v>
      </c>
      <c r="L117" s="205"/>
      <c r="M117" s="203"/>
      <c r="N117" s="203"/>
    </row>
    <row r="118" spans="2:16" x14ac:dyDescent="0.45">
      <c r="B118" s="106"/>
      <c r="C118" s="94" t="s">
        <v>27</v>
      </c>
      <c r="D118" s="302">
        <f>'Nitrous Oxide MMS'!O54</f>
        <v>5.3884840985350007E-4</v>
      </c>
      <c r="E118" s="302">
        <f>'Nitrous Oxide MMS'!P54</f>
        <v>8.718564676801756E-5</v>
      </c>
      <c r="F118" s="302">
        <f>'Nitrous Oxide MMS'!Q54</f>
        <v>4.2903518011325218E-3</v>
      </c>
      <c r="G118" s="302">
        <f>'Nitrous Oxide MMS'!R54</f>
        <v>3.7593104912789568E-3</v>
      </c>
      <c r="H118" s="302">
        <f>'Nitrous Oxide MMS'!S54</f>
        <v>1.0789596493692849E-2</v>
      </c>
      <c r="I118" s="302">
        <f>'Nitrous Oxide MMS'!T54</f>
        <v>4.2904606664108504E-3</v>
      </c>
      <c r="J118" s="302">
        <f>'Nitrous Oxide MMS'!U54</f>
        <v>1.5850857983629478E-3</v>
      </c>
      <c r="K118" s="306" t="str">
        <f>'Nitrous Oxide MMS'!V54</f>
        <v>Gg/farm/season</v>
      </c>
      <c r="L118" s="205"/>
      <c r="M118" s="203"/>
      <c r="N118" s="203"/>
    </row>
    <row r="119" spans="2:16" x14ac:dyDescent="0.45">
      <c r="B119" s="106"/>
      <c r="C119" s="87"/>
      <c r="D119" s="87"/>
      <c r="E119" s="87"/>
      <c r="F119" s="87"/>
      <c r="G119" s="87"/>
      <c r="H119" s="87"/>
      <c r="I119" s="87"/>
      <c r="J119" s="87"/>
      <c r="K119" s="100"/>
      <c r="L119" s="205"/>
      <c r="M119" s="203"/>
      <c r="N119" s="203"/>
    </row>
    <row r="120" spans="2:16" x14ac:dyDescent="0.45">
      <c r="B120" s="105" t="s">
        <v>119</v>
      </c>
      <c r="C120" s="95" t="s">
        <v>72</v>
      </c>
      <c r="D120" s="95" t="str">
        <f>'Data input'!D9</f>
        <v>Bulls &gt;1</v>
      </c>
      <c r="E120" s="95" t="str">
        <f>'Data input'!E9</f>
        <v>Bulls&lt;1</v>
      </c>
      <c r="F120" s="95" t="str">
        <f>'Data input'!F9</f>
        <v>Steers&lt;1</v>
      </c>
      <c r="G120" s="95" t="str">
        <f>'Data input'!G9</f>
        <v>Cows 1 to 2</v>
      </c>
      <c r="H120" s="95" t="str">
        <f>'Data input'!H9</f>
        <v>Cows &gt;2</v>
      </c>
      <c r="I120" s="95" t="str">
        <f>'Data input'!I9</f>
        <v>Cows&lt;1</v>
      </c>
      <c r="J120" s="95" t="str">
        <f>'Data input'!J9</f>
        <v>Steers&gt;1</v>
      </c>
      <c r="K120" s="307" t="str">
        <f>'Data input'!K9</f>
        <v>Units</v>
      </c>
      <c r="L120" s="205"/>
      <c r="M120" s="203"/>
      <c r="N120" s="203"/>
    </row>
    <row r="121" spans="2:16" x14ac:dyDescent="0.45">
      <c r="B121" s="106"/>
      <c r="C121" s="87" t="s">
        <v>24</v>
      </c>
      <c r="D121" s="301">
        <f>'Nitrous Oxide MMS'!O57</f>
        <v>2.4216303192480651E-4</v>
      </c>
      <c r="E121" s="301">
        <f>'Nitrous Oxide MMS'!P57</f>
        <v>-9.8982397969829097E-5</v>
      </c>
      <c r="F121" s="301">
        <f>'Nitrous Oxide MMS'!Q57</f>
        <v>-4.1757284814922741E-3</v>
      </c>
      <c r="G121" s="301">
        <f>'Nitrous Oxide MMS'!R57</f>
        <v>-4.6676708202961242E-4</v>
      </c>
      <c r="H121" s="301">
        <f>'Nitrous Oxide MMS'!S57</f>
        <v>-4.6835655678828829E-3</v>
      </c>
      <c r="I121" s="301">
        <f>'Nitrous Oxide MMS'!T57</f>
        <v>-4.3403141792754474E-3</v>
      </c>
      <c r="J121" s="301">
        <f>'Nitrous Oxide MMS'!U57</f>
        <v>-1.4609792095125317E-3</v>
      </c>
      <c r="K121" s="100" t="str">
        <f>'Nitrous Oxide MMS'!V57</f>
        <v>Gg/farm/season</v>
      </c>
      <c r="L121" s="205"/>
      <c r="M121" s="203"/>
      <c r="N121" s="203"/>
    </row>
    <row r="122" spans="2:16" x14ac:dyDescent="0.45">
      <c r="B122" s="106"/>
      <c r="C122" s="87" t="s">
        <v>25</v>
      </c>
      <c r="D122" s="301">
        <f>'Nitrous Oxide MMS'!O58</f>
        <v>1.8071142162594538E-3</v>
      </c>
      <c r="E122" s="301">
        <f>'Nitrous Oxide MMS'!P58</f>
        <v>1.371377425302667E-4</v>
      </c>
      <c r="F122" s="301">
        <f>'Nitrous Oxide MMS'!Q58</f>
        <v>1.0175464547354563E-2</v>
      </c>
      <c r="G122" s="301">
        <f>'Nitrous Oxide MMS'!R58</f>
        <v>1.3888585244319721E-2</v>
      </c>
      <c r="H122" s="301">
        <f>'Nitrous Oxide MMS'!S58</f>
        <v>4.2522968375954727E-2</v>
      </c>
      <c r="I122" s="301">
        <f>'Nitrous Oxide MMS'!T58</f>
        <v>1.0236284036594552E-2</v>
      </c>
      <c r="J122" s="301">
        <f>'Nitrous Oxide MMS'!U58</f>
        <v>1.0576134720889788E-2</v>
      </c>
      <c r="K122" s="100" t="str">
        <f>'Nitrous Oxide MMS'!V58</f>
        <v>Gg/farm/season</v>
      </c>
      <c r="L122" s="205"/>
      <c r="M122" s="203"/>
      <c r="N122" s="203"/>
    </row>
    <row r="123" spans="2:16" x14ac:dyDescent="0.45">
      <c r="B123" s="106"/>
      <c r="C123" s="87" t="s">
        <v>26</v>
      </c>
      <c r="D123" s="301">
        <f>'Nitrous Oxide MMS'!O59</f>
        <v>8.3002023213714566E-4</v>
      </c>
      <c r="E123" s="301">
        <f>'Nitrous Oxide MMS'!P59</f>
        <v>5.5013824797405365E-5</v>
      </c>
      <c r="F123" s="301">
        <f>'Nitrous Oxide MMS'!Q59</f>
        <v>6.7871746347921702E-3</v>
      </c>
      <c r="G123" s="301">
        <f>'Nitrous Oxide MMS'!R59</f>
        <v>6.1569575186829336E-3</v>
      </c>
      <c r="H123" s="301">
        <f>'Nitrous Oxide MMS'!S59</f>
        <v>2.0148376753862319E-2</v>
      </c>
      <c r="I123" s="301">
        <f>'Nitrous Oxide MMS'!T59</f>
        <v>6.9102303879638579E-3</v>
      </c>
      <c r="J123" s="301">
        <f>'Nitrous Oxide MMS'!U59</f>
        <v>8.6586018562690651E-4</v>
      </c>
      <c r="K123" s="100" t="str">
        <f>'Nitrous Oxide MMS'!V59</f>
        <v>Gg/farm/season</v>
      </c>
      <c r="L123" s="205"/>
      <c r="M123" s="203"/>
      <c r="N123" s="203"/>
    </row>
    <row r="124" spans="2:16" x14ac:dyDescent="0.45">
      <c r="B124" s="107"/>
      <c r="C124" s="94" t="s">
        <v>27</v>
      </c>
      <c r="D124" s="302">
        <f>'Nitrous Oxide MMS'!O60</f>
        <v>5.4345168736242547E-4</v>
      </c>
      <c r="E124" s="302">
        <f>'Nitrous Oxide MMS'!P60</f>
        <v>6.8793881581738047E-5</v>
      </c>
      <c r="F124" s="302">
        <f>'Nitrous Oxide MMS'!Q60</f>
        <v>1.8378328068429021E-3</v>
      </c>
      <c r="G124" s="302">
        <f>'Nitrous Oxide MMS'!R60</f>
        <v>3.1511608528893621E-3</v>
      </c>
      <c r="H124" s="302">
        <f>'Nitrous Oxide MMS'!S60</f>
        <v>1.1987940059829179E-2</v>
      </c>
      <c r="I124" s="302">
        <f>'Nitrous Oxide MMS'!T60</f>
        <v>1.8086042897002112E-3</v>
      </c>
      <c r="J124" s="302">
        <f>'Nitrous Oxide MMS'!U60</f>
        <v>1.0943257585266967E-3</v>
      </c>
      <c r="K124" s="116" t="str">
        <f>'Nitrous Oxide MMS'!V60</f>
        <v>Gg/farm/season</v>
      </c>
      <c r="L124" s="205"/>
      <c r="M124" s="203"/>
      <c r="N124" s="203"/>
    </row>
    <row r="125" spans="2:16" ht="14.1" customHeight="1" x14ac:dyDescent="0.45">
      <c r="B125" s="90"/>
      <c r="C125" s="90"/>
      <c r="D125" s="90"/>
      <c r="E125" s="90"/>
      <c r="F125" s="90"/>
      <c r="G125" s="90"/>
      <c r="H125" s="90"/>
      <c r="I125" s="90"/>
      <c r="J125" s="90"/>
      <c r="K125" s="90"/>
      <c r="L125" s="205"/>
      <c r="M125" s="203"/>
      <c r="N125" s="203"/>
    </row>
    <row r="126" spans="2:16" x14ac:dyDescent="0.45">
      <c r="B126" s="101" t="s">
        <v>231</v>
      </c>
      <c r="C126" s="90"/>
      <c r="D126" s="101" t="s">
        <v>230</v>
      </c>
      <c r="E126" s="90"/>
      <c r="F126" s="90"/>
      <c r="G126" s="90"/>
      <c r="H126" s="90"/>
      <c r="I126" s="90"/>
      <c r="J126" s="90"/>
      <c r="K126" s="90"/>
      <c r="L126" s="205" t="s">
        <v>152</v>
      </c>
      <c r="M126" s="206" t="s">
        <v>229</v>
      </c>
      <c r="N126" s="206" t="s">
        <v>759</v>
      </c>
    </row>
    <row r="127" spans="2:16" x14ac:dyDescent="0.45">
      <c r="B127" s="90"/>
      <c r="C127" s="90"/>
      <c r="D127" s="90" t="s">
        <v>224</v>
      </c>
      <c r="E127" s="111">
        <v>0.04</v>
      </c>
      <c r="F127" s="90"/>
      <c r="G127" s="90"/>
      <c r="H127" s="90"/>
      <c r="I127" s="90"/>
      <c r="J127" s="90"/>
      <c r="K127" s="90" t="s">
        <v>142</v>
      </c>
      <c r="L127" s="205"/>
      <c r="M127" s="203"/>
      <c r="N127" s="203"/>
    </row>
    <row r="128" spans="2:16" x14ac:dyDescent="0.45">
      <c r="B128" s="90"/>
      <c r="C128" s="90"/>
      <c r="D128" s="90" t="s">
        <v>225</v>
      </c>
      <c r="E128" s="117">
        <f>'GWP Factors'!C15</f>
        <v>1.5714285714285714</v>
      </c>
      <c r="F128" s="90"/>
      <c r="G128" s="90"/>
      <c r="H128" s="90"/>
      <c r="I128" s="90"/>
      <c r="J128" s="90"/>
      <c r="K128" s="90" t="s">
        <v>227</v>
      </c>
      <c r="L128" s="205"/>
      <c r="M128" s="203"/>
      <c r="N128" s="203"/>
    </row>
    <row r="129" spans="2:14" x14ac:dyDescent="0.45">
      <c r="B129" s="90"/>
      <c r="C129" s="90"/>
      <c r="D129" s="90"/>
      <c r="E129" s="90"/>
      <c r="F129" s="90"/>
      <c r="G129" s="90"/>
      <c r="H129" s="90"/>
      <c r="I129" s="90"/>
      <c r="J129" s="90"/>
      <c r="K129" s="90"/>
      <c r="L129" s="205"/>
      <c r="M129" s="203"/>
      <c r="N129" s="203"/>
    </row>
    <row r="130" spans="2:14" x14ac:dyDescent="0.45">
      <c r="B130" s="101" t="s">
        <v>377</v>
      </c>
      <c r="C130" s="95" t="s">
        <v>72</v>
      </c>
      <c r="D130" s="95" t="str">
        <f>'Data input'!D9</f>
        <v>Bulls &gt;1</v>
      </c>
      <c r="E130" s="95" t="str">
        <f>'Data input'!E9</f>
        <v>Bulls&lt;1</v>
      </c>
      <c r="F130" s="95" t="str">
        <f>'Data input'!F9</f>
        <v>Steers&lt;1</v>
      </c>
      <c r="G130" s="95" t="str">
        <f>'Data input'!G9</f>
        <v>Cows 1 to 2</v>
      </c>
      <c r="H130" s="95" t="str">
        <f>'Data input'!H9</f>
        <v>Cows &gt;2</v>
      </c>
      <c r="I130" s="95" t="str">
        <f>'Data input'!I9</f>
        <v>Cows&lt;1</v>
      </c>
      <c r="J130" s="95" t="str">
        <f>'Data input'!J9</f>
        <v>Steers&gt;1</v>
      </c>
      <c r="K130" s="95" t="str">
        <f>'Data input'!K9</f>
        <v>Units</v>
      </c>
      <c r="L130" s="205"/>
      <c r="M130" s="206"/>
      <c r="N130" s="206"/>
    </row>
    <row r="131" spans="2:14" x14ac:dyDescent="0.45">
      <c r="B131" s="90"/>
      <c r="C131" s="114" t="s">
        <v>24</v>
      </c>
      <c r="D131" s="112">
        <f>(D115*$E$127*$E$128)+(D121*$E$127*$E$128)</f>
        <v>5.7454921693388992E-5</v>
      </c>
      <c r="E131" s="112">
        <f t="shared" ref="E131:J131" si="14">(E115*$E$127*$E$128)+(E121*$E$127*$E$128)</f>
        <v>-2.006249221662811E-6</v>
      </c>
      <c r="F131" s="112">
        <f t="shared" si="14"/>
        <v>-7.5530728671050558E-5</v>
      </c>
      <c r="G131" s="112">
        <f t="shared" si="14"/>
        <v>3.0111268650137086E-4</v>
      </c>
      <c r="H131" s="112">
        <f t="shared" si="14"/>
        <v>1.1518153352696437E-3</v>
      </c>
      <c r="I131" s="112">
        <f t="shared" si="14"/>
        <v>-8.0890444465079507E-5</v>
      </c>
      <c r="J131" s="112">
        <f t="shared" si="14"/>
        <v>2.7589985206120552E-4</v>
      </c>
      <c r="K131" s="114" t="s">
        <v>123</v>
      </c>
      <c r="L131" s="205"/>
      <c r="M131" s="203"/>
      <c r="N131" s="203"/>
    </row>
    <row r="132" spans="2:14" x14ac:dyDescent="0.45">
      <c r="B132" s="101"/>
      <c r="C132" s="114" t="s">
        <v>25</v>
      </c>
      <c r="D132" s="112">
        <f t="shared" ref="D132:J134" si="15">(D116*$E$127*$E$128)+(D122*$E$127*$E$128)</f>
        <v>1.6587067584934799E-4</v>
      </c>
      <c r="E132" s="112">
        <f t="shared" si="15"/>
        <v>1.5230144545562129E-5</v>
      </c>
      <c r="F132" s="112">
        <f t="shared" si="15"/>
        <v>9.8575855326879036E-4</v>
      </c>
      <c r="G132" s="112">
        <f t="shared" si="15"/>
        <v>1.2963111545391259E-3</v>
      </c>
      <c r="H132" s="112">
        <f t="shared" si="15"/>
        <v>4.1151778379894029E-3</v>
      </c>
      <c r="I132" s="112">
        <f t="shared" si="15"/>
        <v>9.8033973874390415E-4</v>
      </c>
      <c r="J132" s="112">
        <f t="shared" si="15"/>
        <v>1.0266549014000001E-3</v>
      </c>
      <c r="K132" s="114" t="s">
        <v>123</v>
      </c>
      <c r="L132" s="205"/>
      <c r="M132" s="203"/>
      <c r="N132" s="203"/>
    </row>
    <row r="133" spans="2:14" x14ac:dyDescent="0.45">
      <c r="B133" s="90"/>
      <c r="C133" s="114" t="s">
        <v>26</v>
      </c>
      <c r="D133" s="112">
        <f t="shared" si="15"/>
        <v>9.4570514773799959E-5</v>
      </c>
      <c r="E133" s="112">
        <f t="shared" si="15"/>
        <v>1.0273033047675056E-5</v>
      </c>
      <c r="F133" s="112">
        <f t="shared" si="15"/>
        <v>7.479109988888183E-4</v>
      </c>
      <c r="G133" s="112">
        <f t="shared" si="15"/>
        <v>6.8674108987341409E-4</v>
      </c>
      <c r="H133" s="112">
        <f t="shared" si="15"/>
        <v>2.1390221075237468E-3</v>
      </c>
      <c r="I133" s="112">
        <f t="shared" si="15"/>
        <v>7.6652610005998874E-4</v>
      </c>
      <c r="J133" s="112">
        <f t="shared" si="15"/>
        <v>1.0555024453247385E-4</v>
      </c>
      <c r="K133" s="114" t="s">
        <v>123</v>
      </c>
      <c r="L133" s="205"/>
      <c r="M133" s="203"/>
      <c r="N133" s="203"/>
    </row>
    <row r="134" spans="2:14" x14ac:dyDescent="0.45">
      <c r="B134" s="90"/>
      <c r="C134" s="215" t="s">
        <v>27</v>
      </c>
      <c r="D134" s="318">
        <f t="shared" si="15"/>
        <v>6.8030291825001024E-5</v>
      </c>
      <c r="E134" s="318">
        <f t="shared" si="15"/>
        <v>9.8044274962703521E-6</v>
      </c>
      <c r="F134" s="318">
        <f t="shared" si="15"/>
        <v>3.8520017535845523E-4</v>
      </c>
      <c r="G134" s="318">
        <f t="shared" si="15"/>
        <v>4.3437248449058007E-4</v>
      </c>
      <c r="H134" s="318">
        <f t="shared" si="15"/>
        <v>1.4317308690785274E-3</v>
      </c>
      <c r="I134" s="318">
        <f t="shared" si="15"/>
        <v>3.833697972412667E-4</v>
      </c>
      <c r="J134" s="318">
        <f t="shared" si="15"/>
        <v>1.6842015500449195E-4</v>
      </c>
      <c r="K134" s="215" t="s">
        <v>123</v>
      </c>
      <c r="L134" s="205"/>
      <c r="M134" s="203"/>
      <c r="N134" s="203"/>
    </row>
    <row r="135" spans="2:14" x14ac:dyDescent="0.45">
      <c r="B135" s="101"/>
      <c r="C135" s="87"/>
      <c r="D135" s="87"/>
      <c r="E135" s="90"/>
      <c r="F135" s="90"/>
      <c r="G135" s="87"/>
      <c r="H135" s="87"/>
      <c r="I135" s="87"/>
      <c r="J135" s="87"/>
      <c r="K135" s="90"/>
      <c r="L135" s="205"/>
      <c r="M135" s="203"/>
      <c r="N135" s="203"/>
    </row>
    <row r="136" spans="2:14" x14ac:dyDescent="0.45">
      <c r="B136" s="90"/>
      <c r="C136" s="101"/>
      <c r="D136" s="90"/>
      <c r="E136" s="90"/>
      <c r="F136" s="90"/>
      <c r="G136" s="90"/>
      <c r="H136" s="90"/>
      <c r="I136" s="90"/>
      <c r="J136" s="90"/>
      <c r="K136" s="90"/>
      <c r="L136" s="205"/>
      <c r="M136" s="203"/>
      <c r="N136" s="203"/>
    </row>
    <row r="137" spans="2:14" x14ac:dyDescent="0.45">
      <c r="B137" s="101" t="s">
        <v>778</v>
      </c>
      <c r="C137" s="113">
        <f>SUM(D131:J134)</f>
        <v>1.7644720668698457E-2</v>
      </c>
      <c r="D137" s="90"/>
      <c r="E137" s="90"/>
      <c r="F137" s="90"/>
      <c r="G137" s="90"/>
      <c r="H137" s="90"/>
      <c r="I137" s="90"/>
      <c r="J137" s="90"/>
      <c r="K137" s="110" t="s">
        <v>126</v>
      </c>
      <c r="L137" s="205"/>
      <c r="M137" s="203"/>
      <c r="N137" s="203"/>
    </row>
    <row r="138" spans="2:14" x14ac:dyDescent="0.45">
      <c r="B138" s="101" t="s">
        <v>778</v>
      </c>
      <c r="C138" s="102">
        <f>C137*'GWP Factors'!C6</f>
        <v>5.2581267592721401</v>
      </c>
      <c r="D138" s="90"/>
      <c r="E138" s="90"/>
      <c r="F138" s="90"/>
      <c r="G138" s="90"/>
      <c r="H138" s="90"/>
      <c r="I138" s="90"/>
      <c r="J138" s="90"/>
      <c r="K138" s="110" t="s">
        <v>89</v>
      </c>
      <c r="L138" s="205"/>
      <c r="M138" s="203"/>
      <c r="N138" s="203"/>
    </row>
    <row r="139" spans="2:14" x14ac:dyDescent="0.45">
      <c r="B139" s="108" t="s">
        <v>778</v>
      </c>
      <c r="C139" s="214">
        <f>C138*10^3</f>
        <v>5258.1267592721397</v>
      </c>
      <c r="D139" s="94"/>
      <c r="E139" s="94"/>
      <c r="F139" s="94"/>
      <c r="G139" s="94"/>
      <c r="H139" s="94"/>
      <c r="I139" s="94"/>
      <c r="J139" s="94"/>
      <c r="K139" s="213" t="s">
        <v>90</v>
      </c>
      <c r="L139" s="206"/>
      <c r="M139" s="203"/>
      <c r="N139" s="203"/>
    </row>
    <row r="140" spans="2:14" x14ac:dyDescent="0.45">
      <c r="B140" s="90"/>
      <c r="C140" s="109"/>
      <c r="D140" s="90"/>
      <c r="E140" s="90"/>
      <c r="F140" s="90"/>
      <c r="G140" s="90"/>
      <c r="H140" s="90"/>
      <c r="I140" s="90"/>
      <c r="J140" s="90"/>
      <c r="K140" s="90"/>
      <c r="L140" s="205"/>
      <c r="M140" s="210"/>
      <c r="N140" s="210"/>
    </row>
    <row r="141" spans="2:14" x14ac:dyDescent="0.45">
      <c r="B141" s="101" t="s">
        <v>234</v>
      </c>
      <c r="C141" s="90"/>
      <c r="D141" s="101" t="s">
        <v>153</v>
      </c>
      <c r="E141" s="90"/>
      <c r="F141" s="90"/>
      <c r="G141" s="90"/>
      <c r="H141" s="90"/>
      <c r="I141" s="90"/>
      <c r="J141" s="90"/>
      <c r="K141" s="90"/>
      <c r="L141" s="205" t="s">
        <v>154</v>
      </c>
      <c r="M141" s="205" t="s">
        <v>232</v>
      </c>
      <c r="N141" s="205" t="s">
        <v>759</v>
      </c>
    </row>
    <row r="142" spans="2:14" x14ac:dyDescent="0.45">
      <c r="B142" s="90"/>
      <c r="C142" s="109"/>
      <c r="D142" s="90"/>
      <c r="E142" s="90"/>
      <c r="F142" s="90"/>
      <c r="G142" s="90"/>
      <c r="H142" s="90"/>
      <c r="I142" s="90"/>
      <c r="J142" s="90"/>
      <c r="K142" s="90"/>
      <c r="L142" s="205"/>
      <c r="M142" s="210"/>
      <c r="N142" s="210"/>
    </row>
    <row r="143" spans="2:14" x14ac:dyDescent="0.45">
      <c r="B143" s="90"/>
      <c r="C143" s="109"/>
      <c r="D143" s="90" t="s">
        <v>236</v>
      </c>
      <c r="E143" s="90">
        <v>0.1</v>
      </c>
      <c r="F143" s="90"/>
      <c r="G143" s="90"/>
      <c r="H143" s="90"/>
      <c r="I143" s="90"/>
      <c r="J143" s="90"/>
      <c r="K143" s="90" t="s">
        <v>155</v>
      </c>
      <c r="L143" s="205"/>
      <c r="M143" s="210"/>
      <c r="N143" s="210"/>
    </row>
    <row r="144" spans="2:14" x14ac:dyDescent="0.45">
      <c r="B144" s="90"/>
      <c r="C144" s="109"/>
      <c r="D144" s="90"/>
      <c r="E144" s="90"/>
      <c r="F144" s="90"/>
      <c r="G144" s="90"/>
      <c r="H144" s="90"/>
      <c r="I144" s="90"/>
      <c r="J144" s="90"/>
      <c r="K144" s="90"/>
      <c r="L144" s="205"/>
      <c r="M144" s="210"/>
      <c r="N144" s="210"/>
    </row>
    <row r="145" spans="2:14" x14ac:dyDescent="0.45">
      <c r="B145" s="90"/>
      <c r="C145" s="109"/>
      <c r="D145" s="110" t="s">
        <v>455</v>
      </c>
      <c r="E145" s="358"/>
      <c r="F145" s="111" t="s">
        <v>454</v>
      </c>
      <c r="G145" s="90"/>
      <c r="H145" s="90"/>
      <c r="I145" s="90"/>
      <c r="J145" s="90"/>
      <c r="K145" s="90"/>
      <c r="L145" s="205"/>
      <c r="M145" s="210"/>
      <c r="N145" s="210"/>
    </row>
    <row r="146" spans="2:14" x14ac:dyDescent="0.45">
      <c r="B146" s="87" t="s">
        <v>137</v>
      </c>
      <c r="C146" s="87" t="s">
        <v>24</v>
      </c>
      <c r="D146" s="113">
        <f>D41*$E$143</f>
        <v>0</v>
      </c>
      <c r="E146" s="90"/>
      <c r="F146" s="113">
        <f>F41*$E$143</f>
        <v>0</v>
      </c>
      <c r="G146" s="90"/>
      <c r="H146" s="90"/>
      <c r="I146" s="90"/>
      <c r="J146" s="90"/>
      <c r="K146" s="87" t="s">
        <v>138</v>
      </c>
      <c r="L146" s="205"/>
      <c r="M146" s="210"/>
      <c r="N146" s="210"/>
    </row>
    <row r="147" spans="2:14" x14ac:dyDescent="0.45">
      <c r="B147" s="87"/>
      <c r="C147" s="87" t="s">
        <v>25</v>
      </c>
      <c r="D147" s="113">
        <f t="shared" ref="D147:F149" si="16">D42*$E$143</f>
        <v>0</v>
      </c>
      <c r="E147" s="90"/>
      <c r="F147" s="113">
        <f t="shared" si="16"/>
        <v>0</v>
      </c>
      <c r="G147" s="90"/>
      <c r="H147" s="90"/>
      <c r="I147" s="90"/>
      <c r="J147" s="90"/>
      <c r="K147" s="87" t="s">
        <v>138</v>
      </c>
      <c r="L147" s="205"/>
      <c r="M147" s="210"/>
      <c r="N147" s="210"/>
    </row>
    <row r="148" spans="2:14" x14ac:dyDescent="0.45">
      <c r="B148" s="87"/>
      <c r="C148" s="87" t="s">
        <v>26</v>
      </c>
      <c r="D148" s="113">
        <f t="shared" si="16"/>
        <v>0</v>
      </c>
      <c r="E148" s="90"/>
      <c r="F148" s="113">
        <f t="shared" si="16"/>
        <v>0</v>
      </c>
      <c r="G148" s="90"/>
      <c r="H148" s="90"/>
      <c r="I148" s="90"/>
      <c r="J148" s="90"/>
      <c r="K148" s="87" t="s">
        <v>138</v>
      </c>
      <c r="L148" s="205"/>
      <c r="M148" s="210"/>
      <c r="N148" s="210"/>
    </row>
    <row r="149" spans="2:14" x14ac:dyDescent="0.45">
      <c r="B149" s="87"/>
      <c r="C149" s="87" t="s">
        <v>27</v>
      </c>
      <c r="D149" s="113">
        <f t="shared" si="16"/>
        <v>0</v>
      </c>
      <c r="E149" s="90"/>
      <c r="F149" s="113">
        <f t="shared" si="16"/>
        <v>0</v>
      </c>
      <c r="G149" s="90"/>
      <c r="H149" s="90"/>
      <c r="I149" s="90"/>
      <c r="J149" s="90"/>
      <c r="K149" s="87" t="s">
        <v>138</v>
      </c>
      <c r="L149" s="205"/>
      <c r="M149" s="210"/>
      <c r="N149" s="210"/>
    </row>
    <row r="150" spans="2:14" x14ac:dyDescent="0.45">
      <c r="B150" s="87"/>
      <c r="C150" s="87"/>
      <c r="D150" s="90"/>
      <c r="E150" s="90"/>
      <c r="F150" s="90"/>
      <c r="G150" s="90"/>
      <c r="H150" s="90"/>
      <c r="I150" s="90"/>
      <c r="J150" s="90"/>
      <c r="K150" s="90"/>
      <c r="L150" s="205"/>
      <c r="M150" s="210"/>
      <c r="N150" s="210"/>
    </row>
    <row r="151" spans="2:14" x14ac:dyDescent="0.45">
      <c r="B151" s="87"/>
      <c r="C151" s="87"/>
      <c r="D151" s="110" t="s">
        <v>455</v>
      </c>
      <c r="E151" s="358"/>
      <c r="F151" s="111" t="s">
        <v>454</v>
      </c>
      <c r="G151" s="90"/>
      <c r="H151" s="90"/>
      <c r="I151" s="90"/>
      <c r="J151" s="90"/>
      <c r="K151" s="90"/>
      <c r="L151" s="205"/>
      <c r="M151" s="210"/>
      <c r="N151" s="210"/>
    </row>
    <row r="152" spans="2:14" x14ac:dyDescent="0.45">
      <c r="B152" s="87" t="s">
        <v>62</v>
      </c>
      <c r="C152" s="87" t="s">
        <v>24</v>
      </c>
      <c r="D152" s="113">
        <f>D47*$E$143</f>
        <v>1.0334000000000003E-2</v>
      </c>
      <c r="E152" s="90"/>
      <c r="F152" s="113">
        <f>F47*$E$143</f>
        <v>0</v>
      </c>
      <c r="G152" s="90"/>
      <c r="H152" s="90"/>
      <c r="I152" s="90"/>
      <c r="J152" s="90"/>
      <c r="K152" s="87" t="s">
        <v>138</v>
      </c>
      <c r="L152" s="205"/>
      <c r="M152" s="210"/>
      <c r="N152" s="210"/>
    </row>
    <row r="153" spans="2:14" x14ac:dyDescent="0.45">
      <c r="B153" s="87"/>
      <c r="C153" s="87" t="s">
        <v>25</v>
      </c>
      <c r="D153" s="113">
        <f t="shared" ref="D153" si="17">D48*$E$143</f>
        <v>0</v>
      </c>
      <c r="E153" s="90"/>
      <c r="F153" s="113">
        <f t="shared" ref="F153" si="18">F48*$E$143</f>
        <v>0</v>
      </c>
      <c r="G153" s="90"/>
      <c r="H153" s="90"/>
      <c r="I153" s="90"/>
      <c r="J153" s="90"/>
      <c r="K153" s="87" t="s">
        <v>138</v>
      </c>
      <c r="L153" s="205"/>
      <c r="M153" s="210"/>
      <c r="N153" s="210"/>
    </row>
    <row r="154" spans="2:14" x14ac:dyDescent="0.45">
      <c r="B154" s="87"/>
      <c r="C154" s="87" t="s">
        <v>26</v>
      </c>
      <c r="D154" s="113">
        <f t="shared" ref="D154" si="19">D49*$E$143</f>
        <v>2.6860304999999998E-2</v>
      </c>
      <c r="E154" s="90"/>
      <c r="F154" s="113">
        <f t="shared" ref="F154" si="20">F49*$E$143</f>
        <v>0</v>
      </c>
      <c r="G154" s="90"/>
      <c r="H154" s="90"/>
      <c r="I154" s="90"/>
      <c r="J154" s="90"/>
      <c r="K154" s="87" t="s">
        <v>138</v>
      </c>
      <c r="L154" s="205"/>
      <c r="M154" s="210"/>
      <c r="N154" s="210"/>
    </row>
    <row r="155" spans="2:14" x14ac:dyDescent="0.45">
      <c r="B155" s="87"/>
      <c r="C155" s="87" t="s">
        <v>27</v>
      </c>
      <c r="D155" s="113">
        <f t="shared" ref="D155" si="21">D50*$E$143</f>
        <v>0</v>
      </c>
      <c r="E155" s="90"/>
      <c r="F155" s="113">
        <f t="shared" ref="F155" si="22">F50*$E$143</f>
        <v>0</v>
      </c>
      <c r="G155" s="90"/>
      <c r="H155" s="90"/>
      <c r="I155" s="90"/>
      <c r="J155" s="90"/>
      <c r="K155" s="87" t="s">
        <v>138</v>
      </c>
      <c r="L155" s="205"/>
      <c r="M155" s="210"/>
      <c r="N155" s="210"/>
    </row>
    <row r="156" spans="2:14" x14ac:dyDescent="0.45">
      <c r="B156" s="90"/>
      <c r="C156" s="109"/>
      <c r="D156" s="90"/>
      <c r="E156" s="90"/>
      <c r="F156" s="90"/>
      <c r="G156" s="90"/>
      <c r="H156" s="90"/>
      <c r="I156" s="90"/>
      <c r="J156" s="90"/>
      <c r="K156" s="90"/>
      <c r="L156" s="205"/>
      <c r="M156" s="210"/>
      <c r="N156" s="210"/>
    </row>
    <row r="157" spans="2:14" x14ac:dyDescent="0.45">
      <c r="B157" s="101" t="s">
        <v>235</v>
      </c>
      <c r="C157" s="109"/>
      <c r="D157" s="101" t="s">
        <v>460</v>
      </c>
      <c r="E157" s="90"/>
      <c r="F157" s="90"/>
      <c r="G157" s="90"/>
      <c r="H157" s="90"/>
      <c r="I157" s="90"/>
      <c r="J157" s="90"/>
      <c r="K157" s="90"/>
      <c r="L157" s="205" t="s">
        <v>761</v>
      </c>
      <c r="M157" s="205" t="s">
        <v>242</v>
      </c>
      <c r="N157" s="205" t="s">
        <v>197</v>
      </c>
    </row>
    <row r="158" spans="2:14" x14ac:dyDescent="0.45">
      <c r="B158" s="90"/>
      <c r="C158" s="109"/>
      <c r="D158" s="90"/>
      <c r="E158" s="90"/>
      <c r="F158" s="90"/>
      <c r="G158" s="90"/>
      <c r="H158" s="90"/>
      <c r="I158" s="90"/>
      <c r="J158" s="90"/>
      <c r="K158" s="90" t="s">
        <v>155</v>
      </c>
      <c r="L158" s="205"/>
      <c r="M158" s="210"/>
      <c r="N158" s="210"/>
    </row>
    <row r="159" spans="2:14" x14ac:dyDescent="0.45">
      <c r="B159" s="90"/>
      <c r="C159" s="109"/>
      <c r="D159" s="90" t="s">
        <v>236</v>
      </c>
      <c r="E159" s="90">
        <v>0.2</v>
      </c>
      <c r="F159" s="90"/>
      <c r="G159" s="90"/>
      <c r="H159" s="90"/>
      <c r="I159" s="90"/>
      <c r="J159" s="90"/>
      <c r="K159" s="90"/>
      <c r="L159" s="205"/>
      <c r="M159" s="210"/>
      <c r="N159" s="210"/>
    </row>
    <row r="160" spans="2:14" x14ac:dyDescent="0.45">
      <c r="B160" s="90"/>
      <c r="C160" s="109"/>
      <c r="D160" s="90"/>
      <c r="E160" s="90"/>
      <c r="F160" s="90"/>
      <c r="G160" s="90"/>
      <c r="H160" s="90"/>
      <c r="I160" s="90"/>
      <c r="J160" s="90"/>
      <c r="K160" s="90"/>
      <c r="L160" s="205"/>
      <c r="M160" s="210"/>
      <c r="N160" s="210"/>
    </row>
    <row r="161" spans="2:14" x14ac:dyDescent="0.45">
      <c r="B161" s="90"/>
      <c r="C161" s="109"/>
      <c r="D161" s="110" t="s">
        <v>455</v>
      </c>
      <c r="E161" s="358"/>
      <c r="F161" s="111" t="s">
        <v>454</v>
      </c>
      <c r="G161" s="90"/>
      <c r="H161" s="90"/>
      <c r="I161" s="90"/>
      <c r="J161" s="90"/>
      <c r="K161" s="90"/>
      <c r="L161" s="205"/>
      <c r="M161" s="210"/>
      <c r="N161" s="210"/>
    </row>
    <row r="162" spans="2:14" x14ac:dyDescent="0.45">
      <c r="B162" s="87" t="s">
        <v>137</v>
      </c>
      <c r="C162" s="87" t="s">
        <v>24</v>
      </c>
      <c r="D162" s="113">
        <f>D59*$E$159</f>
        <v>0</v>
      </c>
      <c r="E162" s="90"/>
      <c r="F162" s="113">
        <f>F59*$E$159</f>
        <v>0</v>
      </c>
      <c r="G162" s="90"/>
      <c r="H162" s="90"/>
      <c r="I162" s="90"/>
      <c r="J162" s="90"/>
      <c r="K162" s="87" t="s">
        <v>138</v>
      </c>
      <c r="L162" s="205"/>
      <c r="M162" s="210"/>
      <c r="N162" s="210"/>
    </row>
    <row r="163" spans="2:14" x14ac:dyDescent="0.45">
      <c r="B163" s="87"/>
      <c r="C163" s="87" t="s">
        <v>25</v>
      </c>
      <c r="D163" s="113">
        <f t="shared" ref="D163:F165" si="23">D60*$E$159</f>
        <v>0</v>
      </c>
      <c r="E163" s="90"/>
      <c r="F163" s="113">
        <f t="shared" si="23"/>
        <v>0</v>
      </c>
      <c r="G163" s="90"/>
      <c r="H163" s="90"/>
      <c r="I163" s="90"/>
      <c r="J163" s="90"/>
      <c r="K163" s="87" t="s">
        <v>138</v>
      </c>
      <c r="L163" s="205"/>
      <c r="M163" s="210"/>
      <c r="N163" s="210"/>
    </row>
    <row r="164" spans="2:14" x14ac:dyDescent="0.45">
      <c r="B164" s="87"/>
      <c r="C164" s="87" t="s">
        <v>26</v>
      </c>
      <c r="D164" s="113">
        <f t="shared" si="23"/>
        <v>0</v>
      </c>
      <c r="E164" s="90"/>
      <c r="F164" s="113">
        <f t="shared" si="23"/>
        <v>0</v>
      </c>
      <c r="G164" s="90"/>
      <c r="H164" s="90"/>
      <c r="I164" s="90"/>
      <c r="J164" s="90"/>
      <c r="K164" s="87" t="s">
        <v>138</v>
      </c>
      <c r="L164" s="205"/>
      <c r="M164" s="210"/>
      <c r="N164" s="210"/>
    </row>
    <row r="165" spans="2:14" x14ac:dyDescent="0.45">
      <c r="B165" s="87"/>
      <c r="C165" s="87" t="s">
        <v>27</v>
      </c>
      <c r="D165" s="113">
        <f t="shared" si="23"/>
        <v>0</v>
      </c>
      <c r="E165" s="90"/>
      <c r="F165" s="113">
        <f t="shared" si="23"/>
        <v>0</v>
      </c>
      <c r="G165" s="90"/>
      <c r="H165" s="90"/>
      <c r="I165" s="90"/>
      <c r="J165" s="90"/>
      <c r="K165" s="87" t="s">
        <v>138</v>
      </c>
      <c r="L165" s="205"/>
      <c r="M165" s="210"/>
      <c r="N165" s="210"/>
    </row>
    <row r="166" spans="2:14" x14ac:dyDescent="0.45">
      <c r="B166" s="87"/>
      <c r="C166" s="87"/>
      <c r="D166" s="90"/>
      <c r="E166" s="90"/>
      <c r="F166" s="90"/>
      <c r="G166" s="90"/>
      <c r="H166" s="90"/>
      <c r="I166" s="90"/>
      <c r="J166" s="90"/>
      <c r="K166" s="90"/>
      <c r="L166" s="205"/>
      <c r="M166" s="210"/>
      <c r="N166" s="210"/>
    </row>
    <row r="167" spans="2:14" x14ac:dyDescent="0.45">
      <c r="B167" s="87"/>
      <c r="C167" s="87"/>
      <c r="D167" s="110" t="s">
        <v>455</v>
      </c>
      <c r="E167" s="358"/>
      <c r="F167" s="111" t="s">
        <v>454</v>
      </c>
      <c r="G167" s="90"/>
      <c r="H167" s="90"/>
      <c r="I167" s="90"/>
      <c r="J167" s="90"/>
      <c r="K167" s="90"/>
      <c r="L167" s="205"/>
      <c r="M167" s="210"/>
      <c r="N167" s="210"/>
    </row>
    <row r="168" spans="2:14" x14ac:dyDescent="0.45">
      <c r="B168" s="87" t="s">
        <v>62</v>
      </c>
      <c r="C168" s="87" t="s">
        <v>24</v>
      </c>
      <c r="D168" s="113">
        <f>D65*$E$159</f>
        <v>0</v>
      </c>
      <c r="E168" s="90"/>
      <c r="F168" s="113">
        <f>F65*$E$159</f>
        <v>0</v>
      </c>
      <c r="G168" s="90"/>
      <c r="H168" s="90"/>
      <c r="I168" s="90"/>
      <c r="J168" s="90"/>
      <c r="K168" s="87" t="s">
        <v>138</v>
      </c>
      <c r="L168" s="205"/>
      <c r="M168" s="210"/>
      <c r="N168" s="210"/>
    </row>
    <row r="169" spans="2:14" x14ac:dyDescent="0.45">
      <c r="B169" s="87"/>
      <c r="C169" s="87" t="s">
        <v>25</v>
      </c>
      <c r="D169" s="113">
        <f t="shared" ref="D169" si="24">D66*$E$159</f>
        <v>0</v>
      </c>
      <c r="E169" s="90"/>
      <c r="F169" s="113">
        <f t="shared" ref="F169" si="25">F66*$E$159</f>
        <v>0</v>
      </c>
      <c r="G169" s="90"/>
      <c r="H169" s="90"/>
      <c r="I169" s="90"/>
      <c r="J169" s="90"/>
      <c r="K169" s="87" t="s">
        <v>138</v>
      </c>
      <c r="L169" s="205"/>
      <c r="M169" s="210"/>
      <c r="N169" s="210"/>
    </row>
    <row r="170" spans="2:14" x14ac:dyDescent="0.45">
      <c r="B170" s="87"/>
      <c r="C170" s="87" t="s">
        <v>26</v>
      </c>
      <c r="D170" s="113">
        <f t="shared" ref="D170" si="26">D67*$E$159</f>
        <v>0</v>
      </c>
      <c r="E170" s="90"/>
      <c r="F170" s="113">
        <f t="shared" ref="F170" si="27">F67*$E$159</f>
        <v>0</v>
      </c>
      <c r="G170" s="90"/>
      <c r="H170" s="90"/>
      <c r="I170" s="90"/>
      <c r="J170" s="90"/>
      <c r="K170" s="87" t="s">
        <v>138</v>
      </c>
      <c r="L170" s="205"/>
      <c r="M170" s="210"/>
      <c r="N170" s="210"/>
    </row>
    <row r="171" spans="2:14" x14ac:dyDescent="0.45">
      <c r="B171" s="87"/>
      <c r="C171" s="87" t="s">
        <v>27</v>
      </c>
      <c r="D171" s="113">
        <f t="shared" ref="D171" si="28">D68*$E$159</f>
        <v>0</v>
      </c>
      <c r="E171" s="90"/>
      <c r="F171" s="113">
        <f t="shared" ref="F171" si="29">F68*$E$159</f>
        <v>0</v>
      </c>
      <c r="G171" s="90"/>
      <c r="H171" s="90"/>
      <c r="I171" s="90"/>
      <c r="J171" s="90"/>
      <c r="K171" s="87" t="s">
        <v>138</v>
      </c>
      <c r="L171" s="205"/>
      <c r="M171" s="210"/>
      <c r="N171" s="210"/>
    </row>
    <row r="172" spans="2:14" x14ac:dyDescent="0.45">
      <c r="B172" s="90"/>
      <c r="C172" s="109"/>
      <c r="D172" s="90"/>
      <c r="E172" s="90"/>
      <c r="F172" s="90"/>
      <c r="G172" s="90"/>
      <c r="H172" s="90"/>
      <c r="I172" s="90"/>
      <c r="J172" s="90"/>
      <c r="K172" s="90"/>
      <c r="L172" s="205"/>
      <c r="M172" s="210"/>
      <c r="N172" s="210"/>
    </row>
    <row r="173" spans="2:14" x14ac:dyDescent="0.45">
      <c r="B173" s="101" t="s">
        <v>156</v>
      </c>
      <c r="C173" s="90"/>
      <c r="D173" s="101" t="s">
        <v>150</v>
      </c>
      <c r="E173" s="90"/>
      <c r="F173" s="90"/>
      <c r="G173" s="90"/>
      <c r="H173" s="90"/>
      <c r="I173" s="90"/>
      <c r="J173" s="90"/>
      <c r="K173" s="90"/>
      <c r="L173" s="205" t="s">
        <v>160</v>
      </c>
      <c r="M173" s="205" t="s">
        <v>233</v>
      </c>
      <c r="N173" s="205" t="s">
        <v>759</v>
      </c>
    </row>
    <row r="174" spans="2:14" x14ac:dyDescent="0.45">
      <c r="B174" s="101"/>
      <c r="C174" s="90"/>
      <c r="D174" s="101"/>
      <c r="E174" s="90"/>
      <c r="F174" s="90"/>
      <c r="G174" s="90"/>
      <c r="H174" s="90"/>
      <c r="I174" s="90"/>
      <c r="J174" s="90"/>
      <c r="K174" s="90"/>
      <c r="L174" s="205"/>
      <c r="M174" s="205"/>
      <c r="N174" s="205"/>
    </row>
    <row r="175" spans="2:14" x14ac:dyDescent="0.45">
      <c r="B175" s="101"/>
      <c r="C175" s="90"/>
      <c r="D175" s="101" t="s">
        <v>224</v>
      </c>
      <c r="E175" s="90" t="s">
        <v>458</v>
      </c>
      <c r="F175" s="90"/>
      <c r="G175" s="90"/>
      <c r="H175" s="90"/>
      <c r="I175" s="90"/>
      <c r="J175" s="90"/>
      <c r="K175" s="90"/>
      <c r="L175" s="205"/>
      <c r="M175" s="205"/>
      <c r="N175" s="205"/>
    </row>
    <row r="176" spans="2:14" x14ac:dyDescent="0.45">
      <c r="B176" s="101"/>
      <c r="C176" s="90"/>
      <c r="D176" s="101" t="s">
        <v>225</v>
      </c>
      <c r="E176" s="102">
        <f>'GWP Factors'!C15</f>
        <v>1.5714285714285714</v>
      </c>
      <c r="F176" s="90"/>
      <c r="G176" s="90"/>
      <c r="H176" s="90"/>
      <c r="I176" s="90"/>
      <c r="J176" s="90"/>
      <c r="K176" s="90"/>
      <c r="L176" s="205"/>
      <c r="M176" s="205"/>
      <c r="N176" s="205"/>
    </row>
    <row r="177" spans="2:14" x14ac:dyDescent="0.45">
      <c r="B177" s="90"/>
      <c r="C177" s="109"/>
      <c r="D177" s="90"/>
      <c r="E177" s="90"/>
      <c r="F177" s="90"/>
      <c r="G177" s="90"/>
      <c r="H177" s="90"/>
      <c r="I177" s="90"/>
      <c r="J177" s="90"/>
      <c r="K177" s="90"/>
      <c r="L177" s="205"/>
      <c r="M177" s="210"/>
      <c r="N177" s="210"/>
    </row>
    <row r="178" spans="2:14" x14ac:dyDescent="0.45">
      <c r="B178" s="90"/>
      <c r="C178" s="109"/>
      <c r="D178" s="110" t="s">
        <v>455</v>
      </c>
      <c r="E178" s="358"/>
      <c r="F178" s="111" t="s">
        <v>454</v>
      </c>
      <c r="G178" s="90"/>
      <c r="H178" s="90"/>
      <c r="I178" s="90"/>
      <c r="J178" s="90"/>
      <c r="K178" s="90"/>
      <c r="L178" s="205"/>
      <c r="M178" s="210"/>
      <c r="N178" s="210"/>
    </row>
    <row r="179" spans="2:14" x14ac:dyDescent="0.45">
      <c r="B179" s="87" t="s">
        <v>137</v>
      </c>
      <c r="C179" s="87" t="s">
        <v>24</v>
      </c>
      <c r="D179" s="113">
        <f>D146*$C$74*$E$176</f>
        <v>0</v>
      </c>
      <c r="E179" s="113"/>
      <c r="F179" s="113">
        <f>F146*$C$72*$E$176</f>
        <v>0</v>
      </c>
      <c r="G179" s="90"/>
      <c r="H179" s="90"/>
      <c r="I179" s="90"/>
      <c r="J179" s="90"/>
      <c r="K179" s="114" t="s">
        <v>123</v>
      </c>
      <c r="L179" s="205"/>
      <c r="M179" s="210"/>
      <c r="N179" s="210"/>
    </row>
    <row r="180" spans="2:14" x14ac:dyDescent="0.45">
      <c r="B180" s="87"/>
      <c r="C180" s="87" t="s">
        <v>25</v>
      </c>
      <c r="D180" s="113">
        <f t="shared" ref="D180:D182" si="30">D147*$C$74*$E$176</f>
        <v>0</v>
      </c>
      <c r="E180" s="113"/>
      <c r="F180" s="113">
        <f t="shared" ref="F180:F182" si="31">F147*$C$72*$E$176</f>
        <v>0</v>
      </c>
      <c r="G180" s="90"/>
      <c r="H180" s="90"/>
      <c r="I180" s="90"/>
      <c r="J180" s="90"/>
      <c r="K180" s="114" t="s">
        <v>123</v>
      </c>
      <c r="L180" s="205"/>
      <c r="M180" s="210"/>
      <c r="N180" s="210"/>
    </row>
    <row r="181" spans="2:14" x14ac:dyDescent="0.45">
      <c r="B181" s="87"/>
      <c r="C181" s="87" t="s">
        <v>26</v>
      </c>
      <c r="D181" s="113">
        <f t="shared" si="30"/>
        <v>0</v>
      </c>
      <c r="E181" s="113"/>
      <c r="F181" s="113">
        <f t="shared" si="31"/>
        <v>0</v>
      </c>
      <c r="G181" s="90"/>
      <c r="H181" s="90"/>
      <c r="I181" s="90"/>
      <c r="J181" s="90"/>
      <c r="K181" s="114" t="s">
        <v>123</v>
      </c>
      <c r="L181" s="205"/>
      <c r="M181" s="210"/>
      <c r="N181" s="210"/>
    </row>
    <row r="182" spans="2:14" x14ac:dyDescent="0.45">
      <c r="B182" s="87"/>
      <c r="C182" s="87" t="s">
        <v>27</v>
      </c>
      <c r="D182" s="113">
        <f t="shared" si="30"/>
        <v>0</v>
      </c>
      <c r="E182" s="113"/>
      <c r="F182" s="113">
        <f t="shared" si="31"/>
        <v>0</v>
      </c>
      <c r="G182" s="90"/>
      <c r="H182" s="90"/>
      <c r="I182" s="90"/>
      <c r="J182" s="90"/>
      <c r="K182" s="114" t="s">
        <v>123</v>
      </c>
      <c r="L182" s="205"/>
      <c r="M182" s="210"/>
      <c r="N182" s="210"/>
    </row>
    <row r="183" spans="2:14" x14ac:dyDescent="0.45">
      <c r="B183" s="87"/>
      <c r="C183" s="87"/>
      <c r="D183" s="90"/>
      <c r="E183" s="90"/>
      <c r="F183" s="90"/>
      <c r="G183" s="90"/>
      <c r="H183" s="90"/>
      <c r="I183" s="90"/>
      <c r="J183" s="90"/>
      <c r="K183" s="90"/>
      <c r="L183" s="205"/>
      <c r="M183" s="210"/>
      <c r="N183" s="210"/>
    </row>
    <row r="184" spans="2:14" x14ac:dyDescent="0.45">
      <c r="B184" s="87"/>
      <c r="C184" s="87"/>
      <c r="D184" s="110" t="s">
        <v>455</v>
      </c>
      <c r="E184" s="358"/>
      <c r="F184" s="111" t="s">
        <v>454</v>
      </c>
      <c r="G184" s="90"/>
      <c r="H184" s="90"/>
      <c r="I184" s="90"/>
      <c r="J184" s="90"/>
      <c r="K184" s="90"/>
      <c r="L184" s="205"/>
      <c r="M184" s="210"/>
      <c r="N184" s="210"/>
    </row>
    <row r="185" spans="2:14" x14ac:dyDescent="0.45">
      <c r="B185" s="87" t="s">
        <v>62</v>
      </c>
      <c r="C185" s="87" t="s">
        <v>24</v>
      </c>
      <c r="D185" s="113">
        <f>D152*$C$73*$E$176</f>
        <v>3.2478285714285723E-5</v>
      </c>
      <c r="E185" s="90"/>
      <c r="F185" s="113">
        <f>F152*$C$71*$E$176</f>
        <v>0</v>
      </c>
      <c r="G185" s="90"/>
      <c r="H185" s="90"/>
      <c r="I185" s="90"/>
      <c r="J185" s="90"/>
      <c r="K185" s="114" t="s">
        <v>123</v>
      </c>
      <c r="L185" s="205"/>
      <c r="M185" s="210"/>
      <c r="N185" s="210"/>
    </row>
    <row r="186" spans="2:14" x14ac:dyDescent="0.45">
      <c r="B186" s="87"/>
      <c r="C186" s="87" t="s">
        <v>25</v>
      </c>
      <c r="D186" s="113">
        <f t="shared" ref="D186:D188" si="32">D153*$C$73*$E$176</f>
        <v>0</v>
      </c>
      <c r="E186" s="90"/>
      <c r="F186" s="113">
        <f t="shared" ref="F186:F188" si="33">F153*$C$71*$E$176</f>
        <v>0</v>
      </c>
      <c r="G186" s="90"/>
      <c r="H186" s="90"/>
      <c r="I186" s="90"/>
      <c r="J186" s="90"/>
      <c r="K186" s="114" t="s">
        <v>123</v>
      </c>
      <c r="L186" s="205"/>
      <c r="M186" s="210"/>
      <c r="N186" s="210"/>
    </row>
    <row r="187" spans="2:14" x14ac:dyDescent="0.45">
      <c r="B187" s="87"/>
      <c r="C187" s="87" t="s">
        <v>26</v>
      </c>
      <c r="D187" s="113">
        <f t="shared" si="32"/>
        <v>8.4418101428571424E-5</v>
      </c>
      <c r="E187" s="90"/>
      <c r="F187" s="113">
        <f t="shared" si="33"/>
        <v>0</v>
      </c>
      <c r="G187" s="90"/>
      <c r="H187" s="90"/>
      <c r="I187" s="90"/>
      <c r="J187" s="90"/>
      <c r="K187" s="114" t="s">
        <v>123</v>
      </c>
      <c r="L187" s="205"/>
      <c r="M187" s="210"/>
      <c r="N187" s="210"/>
    </row>
    <row r="188" spans="2:14" x14ac:dyDescent="0.45">
      <c r="B188" s="87"/>
      <c r="C188" s="87" t="s">
        <v>27</v>
      </c>
      <c r="D188" s="113">
        <f t="shared" si="32"/>
        <v>0</v>
      </c>
      <c r="E188" s="90"/>
      <c r="F188" s="113">
        <f t="shared" si="33"/>
        <v>0</v>
      </c>
      <c r="G188" s="90"/>
      <c r="H188" s="90"/>
      <c r="I188" s="90"/>
      <c r="J188" s="90"/>
      <c r="K188" s="114" t="s">
        <v>123</v>
      </c>
      <c r="L188" s="205"/>
      <c r="M188" s="210"/>
      <c r="N188" s="210"/>
    </row>
    <row r="189" spans="2:14" x14ac:dyDescent="0.45">
      <c r="B189" s="87"/>
      <c r="C189" s="87"/>
      <c r="D189" s="113"/>
      <c r="E189" s="90"/>
      <c r="F189" s="113"/>
      <c r="G189" s="90"/>
      <c r="H189" s="90"/>
      <c r="I189" s="90"/>
      <c r="J189" s="90"/>
      <c r="K189" s="114"/>
      <c r="L189" s="205"/>
      <c r="M189" s="210"/>
      <c r="N189" s="210"/>
    </row>
    <row r="190" spans="2:14" x14ac:dyDescent="0.45">
      <c r="B190" s="87" t="s">
        <v>465</v>
      </c>
      <c r="C190" s="87"/>
      <c r="D190" s="110" t="s">
        <v>455</v>
      </c>
      <c r="E190" s="358"/>
      <c r="F190" s="111" t="s">
        <v>454</v>
      </c>
      <c r="G190" s="90"/>
      <c r="H190" s="90"/>
      <c r="I190" s="90"/>
      <c r="J190" s="90"/>
      <c r="K190" s="114"/>
      <c r="L190" s="205"/>
      <c r="M190" s="210"/>
      <c r="N190" s="210"/>
    </row>
    <row r="191" spans="2:14" x14ac:dyDescent="0.45">
      <c r="B191" s="87"/>
      <c r="C191" s="87" t="s">
        <v>24</v>
      </c>
      <c r="D191" s="113">
        <f>D162*$C$74*$E$176</f>
        <v>0</v>
      </c>
      <c r="E191" s="358"/>
      <c r="F191" s="113">
        <f>F162*$C$72*$E$176</f>
        <v>0</v>
      </c>
      <c r="G191" s="90"/>
      <c r="H191" s="90"/>
      <c r="I191" s="90"/>
      <c r="J191" s="90"/>
      <c r="K191" s="114"/>
      <c r="L191" s="205"/>
      <c r="M191" s="210"/>
      <c r="N191" s="210"/>
    </row>
    <row r="192" spans="2:14" x14ac:dyDescent="0.45">
      <c r="B192" s="87"/>
      <c r="C192" s="87" t="s">
        <v>25</v>
      </c>
      <c r="D192" s="113">
        <f t="shared" ref="D192:D194" si="34">D163*$C$74*$E$176</f>
        <v>0</v>
      </c>
      <c r="E192" s="90"/>
      <c r="F192" s="113">
        <f t="shared" ref="F192:F194" si="35">F163*$C$72*$E$176</f>
        <v>0</v>
      </c>
      <c r="G192" s="90"/>
      <c r="H192" s="90"/>
      <c r="I192" s="90"/>
      <c r="J192" s="90"/>
      <c r="K192" s="114"/>
      <c r="L192" s="205"/>
      <c r="M192" s="210"/>
      <c r="N192" s="210"/>
    </row>
    <row r="193" spans="2:14" x14ac:dyDescent="0.45">
      <c r="B193" s="87"/>
      <c r="C193" s="87" t="s">
        <v>26</v>
      </c>
      <c r="D193" s="113">
        <f t="shared" si="34"/>
        <v>0</v>
      </c>
      <c r="E193" s="90"/>
      <c r="F193" s="113">
        <f t="shared" si="35"/>
        <v>0</v>
      </c>
      <c r="G193" s="90"/>
      <c r="H193" s="90"/>
      <c r="I193" s="90"/>
      <c r="J193" s="90"/>
      <c r="K193" s="114"/>
      <c r="L193" s="205"/>
      <c r="M193" s="210"/>
      <c r="N193" s="210"/>
    </row>
    <row r="194" spans="2:14" x14ac:dyDescent="0.45">
      <c r="B194" s="87"/>
      <c r="C194" s="87" t="s">
        <v>27</v>
      </c>
      <c r="D194" s="113">
        <f t="shared" si="34"/>
        <v>0</v>
      </c>
      <c r="E194" s="90"/>
      <c r="F194" s="113">
        <f t="shared" si="35"/>
        <v>0</v>
      </c>
      <c r="G194" s="90"/>
      <c r="H194" s="90"/>
      <c r="I194" s="90"/>
      <c r="J194" s="90"/>
      <c r="K194" s="114"/>
      <c r="L194" s="205"/>
      <c r="M194" s="210"/>
      <c r="N194" s="210"/>
    </row>
    <row r="195" spans="2:14" x14ac:dyDescent="0.45">
      <c r="B195" s="87"/>
      <c r="C195" s="87"/>
      <c r="D195" s="113"/>
      <c r="E195" s="90"/>
      <c r="F195" s="113"/>
      <c r="G195" s="90"/>
      <c r="H195" s="90"/>
      <c r="I195" s="90"/>
      <c r="J195" s="90"/>
      <c r="K195" s="114"/>
      <c r="L195" s="205"/>
      <c r="M195" s="210"/>
      <c r="N195" s="210"/>
    </row>
    <row r="196" spans="2:14" x14ac:dyDescent="0.45">
      <c r="B196" s="87" t="s">
        <v>466</v>
      </c>
      <c r="C196" s="87"/>
      <c r="D196" s="110" t="s">
        <v>455</v>
      </c>
      <c r="E196" s="358"/>
      <c r="F196" s="111" t="s">
        <v>454</v>
      </c>
      <c r="G196" s="90"/>
      <c r="H196" s="90"/>
      <c r="I196" s="90"/>
      <c r="J196" s="90"/>
      <c r="K196" s="114"/>
      <c r="L196" s="205"/>
      <c r="M196" s="210"/>
      <c r="N196" s="210"/>
    </row>
    <row r="197" spans="2:14" x14ac:dyDescent="0.45">
      <c r="B197" s="87"/>
      <c r="C197" s="87" t="s">
        <v>24</v>
      </c>
      <c r="D197" s="113">
        <f>D168*$C$73*$E$176</f>
        <v>0</v>
      </c>
      <c r="E197" s="90"/>
      <c r="F197" s="113">
        <f>F168*$C$71*$E$176</f>
        <v>0</v>
      </c>
      <c r="G197" s="90"/>
      <c r="H197" s="90"/>
      <c r="I197" s="90"/>
      <c r="J197" s="90"/>
      <c r="K197" s="114"/>
      <c r="L197" s="205"/>
      <c r="M197" s="210"/>
      <c r="N197" s="210"/>
    </row>
    <row r="198" spans="2:14" x14ac:dyDescent="0.45">
      <c r="B198" s="87"/>
      <c r="C198" s="87" t="s">
        <v>25</v>
      </c>
      <c r="D198" s="113">
        <f t="shared" ref="D198:D200" si="36">D169*$C$73*$E$176</f>
        <v>0</v>
      </c>
      <c r="E198" s="90"/>
      <c r="F198" s="113">
        <f t="shared" ref="F198:F200" si="37">F169*$C$71*$E$176</f>
        <v>0</v>
      </c>
      <c r="G198" s="90"/>
      <c r="H198" s="90"/>
      <c r="I198" s="90"/>
      <c r="J198" s="90"/>
      <c r="K198" s="114"/>
      <c r="L198" s="205"/>
      <c r="M198" s="210"/>
      <c r="N198" s="210"/>
    </row>
    <row r="199" spans="2:14" x14ac:dyDescent="0.45">
      <c r="B199" s="87"/>
      <c r="C199" s="87" t="s">
        <v>26</v>
      </c>
      <c r="D199" s="113">
        <f t="shared" si="36"/>
        <v>0</v>
      </c>
      <c r="E199" s="90"/>
      <c r="F199" s="113">
        <f t="shared" si="37"/>
        <v>0</v>
      </c>
      <c r="G199" s="90"/>
      <c r="H199" s="90"/>
      <c r="I199" s="90"/>
      <c r="J199" s="90"/>
      <c r="K199" s="114"/>
      <c r="L199" s="205"/>
      <c r="M199" s="210"/>
      <c r="N199" s="210"/>
    </row>
    <row r="200" spans="2:14" x14ac:dyDescent="0.45">
      <c r="B200" s="87"/>
      <c r="C200" s="87" t="s">
        <v>27</v>
      </c>
      <c r="D200" s="113">
        <f t="shared" si="36"/>
        <v>0</v>
      </c>
      <c r="E200" s="90"/>
      <c r="F200" s="113">
        <f t="shared" si="37"/>
        <v>0</v>
      </c>
      <c r="G200" s="90"/>
      <c r="H200" s="90"/>
      <c r="I200" s="90"/>
      <c r="J200" s="90"/>
      <c r="K200" s="114"/>
      <c r="L200" s="205"/>
      <c r="M200" s="210"/>
      <c r="N200" s="210"/>
    </row>
    <row r="201" spans="2:14" x14ac:dyDescent="0.45">
      <c r="B201" s="90"/>
      <c r="C201" s="109"/>
      <c r="D201" s="90"/>
      <c r="E201" s="90"/>
      <c r="F201" s="90"/>
      <c r="G201" s="90"/>
      <c r="H201" s="90"/>
      <c r="I201" s="90"/>
      <c r="J201" s="90"/>
      <c r="K201" s="90"/>
      <c r="L201" s="205"/>
      <c r="M201" s="210"/>
      <c r="N201" s="210"/>
    </row>
    <row r="202" spans="2:14" x14ac:dyDescent="0.45">
      <c r="B202" s="101" t="s">
        <v>779</v>
      </c>
      <c r="C202" s="113">
        <f>SUM(D179:D182,F179:F182,D185:D188,F185:F188,D191:D194,F191:F194,D197:D200,F197:F200)</f>
        <v>1.1689638714285715E-4</v>
      </c>
      <c r="D202" s="90"/>
      <c r="E202" s="90"/>
      <c r="F202" s="90"/>
      <c r="G202" s="90"/>
      <c r="H202" s="90"/>
      <c r="I202" s="90"/>
      <c r="J202" s="90"/>
      <c r="K202" s="110" t="s">
        <v>126</v>
      </c>
      <c r="L202" s="205"/>
      <c r="M202" s="210"/>
      <c r="N202" s="210"/>
    </row>
    <row r="203" spans="2:14" x14ac:dyDescent="0.45">
      <c r="B203" s="101" t="s">
        <v>779</v>
      </c>
      <c r="C203" s="102">
        <f>C202*'GWP Factors'!C6</f>
        <v>3.4835123368571433E-2</v>
      </c>
      <c r="D203" s="90"/>
      <c r="E203" s="90"/>
      <c r="F203" s="90"/>
      <c r="G203" s="90"/>
      <c r="H203" s="90"/>
      <c r="I203" s="90"/>
      <c r="J203" s="90"/>
      <c r="K203" s="110" t="s">
        <v>89</v>
      </c>
      <c r="L203" s="205"/>
      <c r="M203" s="210"/>
      <c r="N203" s="210"/>
    </row>
    <row r="204" spans="2:14" x14ac:dyDescent="0.45">
      <c r="B204" s="108" t="s">
        <v>779</v>
      </c>
      <c r="C204" s="214">
        <f>C203*10^3</f>
        <v>34.835123368571431</v>
      </c>
      <c r="D204" s="94"/>
      <c r="E204" s="94"/>
      <c r="F204" s="94"/>
      <c r="G204" s="94"/>
      <c r="H204" s="94"/>
      <c r="I204" s="94"/>
      <c r="J204" s="94"/>
      <c r="K204" s="213" t="s">
        <v>90</v>
      </c>
      <c r="L204" s="205"/>
      <c r="M204" s="210"/>
      <c r="N204" s="210"/>
    </row>
    <row r="205" spans="2:14" x14ac:dyDescent="0.45">
      <c r="B205" s="90"/>
      <c r="C205" s="109"/>
      <c r="D205" s="90"/>
      <c r="E205" s="90"/>
      <c r="F205" s="90"/>
      <c r="G205" s="90"/>
      <c r="H205" s="90"/>
      <c r="I205" s="90"/>
      <c r="J205" s="90"/>
      <c r="K205" s="90"/>
      <c r="L205" s="205"/>
      <c r="M205" s="210"/>
      <c r="N205" s="210"/>
    </row>
    <row r="206" spans="2:14" x14ac:dyDescent="0.45">
      <c r="B206" s="90" t="s">
        <v>157</v>
      </c>
      <c r="C206" s="90"/>
      <c r="D206" s="90"/>
      <c r="E206" s="90"/>
      <c r="F206" s="90"/>
      <c r="G206" s="90"/>
      <c r="H206" s="90"/>
      <c r="I206" s="90"/>
      <c r="J206" s="99"/>
      <c r="K206" s="90"/>
      <c r="L206" s="205"/>
      <c r="M206" s="210"/>
      <c r="N206" s="210"/>
    </row>
    <row r="207" spans="2:14" x14ac:dyDescent="0.45">
      <c r="B207" s="101" t="s">
        <v>158</v>
      </c>
      <c r="C207" s="90"/>
      <c r="D207" s="101" t="s">
        <v>459</v>
      </c>
      <c r="E207" s="90"/>
      <c r="F207" s="90"/>
      <c r="G207" s="90"/>
      <c r="H207" s="90"/>
      <c r="I207" s="90"/>
      <c r="J207" s="90"/>
      <c r="K207" s="90"/>
      <c r="L207" s="205" t="s">
        <v>762</v>
      </c>
      <c r="M207" s="205" t="s">
        <v>237</v>
      </c>
      <c r="N207" s="205" t="s">
        <v>759</v>
      </c>
    </row>
    <row r="208" spans="2:14" x14ac:dyDescent="0.45">
      <c r="B208" s="90"/>
      <c r="C208" s="90"/>
      <c r="D208" s="90" t="s">
        <v>161</v>
      </c>
      <c r="E208" s="90"/>
      <c r="F208" s="90"/>
      <c r="G208" s="90"/>
      <c r="H208" s="90"/>
      <c r="I208" s="90"/>
      <c r="J208" s="90"/>
      <c r="K208" s="90" t="s">
        <v>149</v>
      </c>
      <c r="L208" s="205"/>
      <c r="M208" s="210"/>
      <c r="N208" s="210"/>
    </row>
    <row r="209" spans="2:14" x14ac:dyDescent="0.45">
      <c r="B209" s="90"/>
      <c r="C209" s="90"/>
      <c r="D209" s="90" t="s">
        <v>163</v>
      </c>
      <c r="E209" s="90"/>
      <c r="F209" s="90"/>
      <c r="G209" s="90"/>
      <c r="H209" s="90"/>
      <c r="I209" s="90"/>
      <c r="J209" s="90"/>
      <c r="K209" s="90"/>
      <c r="L209" s="205" t="s">
        <v>162</v>
      </c>
      <c r="M209" s="205" t="s">
        <v>763</v>
      </c>
      <c r="N209" s="210"/>
    </row>
    <row r="210" spans="2:14" x14ac:dyDescent="0.45">
      <c r="B210" s="90"/>
      <c r="C210" s="90"/>
      <c r="D210" s="90"/>
      <c r="E210" s="90"/>
      <c r="F210" s="90"/>
      <c r="G210" s="90"/>
      <c r="H210" s="90"/>
      <c r="I210" s="90"/>
      <c r="J210" s="90"/>
      <c r="K210" s="90"/>
      <c r="L210" s="205"/>
      <c r="M210" s="205"/>
      <c r="N210" s="210"/>
    </row>
    <row r="211" spans="2:14" x14ac:dyDescent="0.45">
      <c r="B211" s="90"/>
      <c r="C211" s="90"/>
      <c r="D211" s="103" t="s">
        <v>771</v>
      </c>
      <c r="E211" s="540"/>
      <c r="F211" s="90"/>
      <c r="G211" s="90"/>
      <c r="H211" s="90"/>
      <c r="I211" s="90"/>
      <c r="J211" s="90"/>
      <c r="K211" s="90"/>
      <c r="L211" s="205"/>
      <c r="M211" s="210"/>
      <c r="N211" s="210"/>
    </row>
    <row r="212" spans="2:14" x14ac:dyDescent="0.45">
      <c r="B212" s="90"/>
      <c r="C212" s="90"/>
      <c r="D212" s="541">
        <v>1</v>
      </c>
      <c r="E212" s="100" t="s">
        <v>363</v>
      </c>
      <c r="F212" s="90"/>
      <c r="G212" s="90"/>
      <c r="H212" s="110"/>
      <c r="I212" s="90"/>
      <c r="J212" s="90"/>
      <c r="K212" s="90"/>
      <c r="L212" s="205"/>
      <c r="M212" s="210"/>
      <c r="N212" s="210"/>
    </row>
    <row r="213" spans="2:14" x14ac:dyDescent="0.45">
      <c r="B213" s="90"/>
      <c r="C213" s="90"/>
      <c r="D213" s="542">
        <v>2</v>
      </c>
      <c r="E213" s="116" t="s">
        <v>364</v>
      </c>
      <c r="F213" s="90"/>
      <c r="G213" s="90"/>
      <c r="H213" s="110"/>
      <c r="I213" s="90"/>
      <c r="J213" s="90"/>
      <c r="K213" s="90"/>
      <c r="L213" s="205"/>
      <c r="M213" s="210"/>
      <c r="N213" s="210"/>
    </row>
    <row r="214" spans="2:14" x14ac:dyDescent="0.45">
      <c r="B214" s="90"/>
      <c r="C214" s="90"/>
      <c r="D214" s="90"/>
      <c r="E214" s="90"/>
      <c r="F214" s="90"/>
      <c r="G214" s="90"/>
      <c r="H214" s="110"/>
      <c r="I214" s="90"/>
      <c r="J214" s="90"/>
      <c r="K214" s="90"/>
      <c r="L214" s="205"/>
      <c r="M214" s="210"/>
      <c r="N214" s="210"/>
    </row>
    <row r="215" spans="2:14" x14ac:dyDescent="0.45">
      <c r="B215" s="90"/>
      <c r="C215" s="90"/>
      <c r="D215" s="90" t="s">
        <v>366</v>
      </c>
      <c r="E215" s="90"/>
      <c r="F215" s="90"/>
      <c r="G215" s="90"/>
      <c r="H215" s="110">
        <f>'Data input'!E7</f>
        <v>2</v>
      </c>
      <c r="I215" s="90"/>
      <c r="J215" s="90"/>
      <c r="K215" s="90"/>
      <c r="L215" s="205"/>
      <c r="M215" s="210"/>
      <c r="N215" s="210"/>
    </row>
    <row r="216" spans="2:14" x14ac:dyDescent="0.45">
      <c r="B216" s="90"/>
      <c r="C216" s="90"/>
      <c r="D216" s="90" t="s">
        <v>367</v>
      </c>
      <c r="E216" s="90"/>
      <c r="F216" s="90"/>
      <c r="G216" s="90"/>
      <c r="H216" s="110">
        <f>IF(H215=2,1,0)</f>
        <v>1</v>
      </c>
      <c r="I216" s="90"/>
      <c r="J216" s="90"/>
      <c r="K216" s="90"/>
      <c r="L216" s="205"/>
      <c r="M216" s="210"/>
      <c r="N216" s="210"/>
    </row>
    <row r="217" spans="2:14" x14ac:dyDescent="0.45">
      <c r="B217" s="90"/>
      <c r="C217" s="90"/>
      <c r="D217" s="90" t="s">
        <v>164</v>
      </c>
      <c r="E217" s="90"/>
      <c r="F217" s="90"/>
      <c r="G217" s="90"/>
      <c r="H217" s="110">
        <f>0.3</f>
        <v>0.3</v>
      </c>
      <c r="I217" s="90"/>
      <c r="J217" s="90"/>
      <c r="K217" s="90" t="s">
        <v>238</v>
      </c>
      <c r="L217" s="205"/>
      <c r="M217" s="210"/>
      <c r="N217" s="210"/>
    </row>
    <row r="218" spans="2:14" x14ac:dyDescent="0.45">
      <c r="B218" s="90"/>
      <c r="C218" s="90"/>
      <c r="D218" s="90"/>
      <c r="E218" s="90"/>
      <c r="F218" s="90"/>
      <c r="G218" s="90"/>
      <c r="H218" s="90"/>
      <c r="I218" s="90"/>
      <c r="J218" s="90"/>
      <c r="K218" s="90"/>
      <c r="L218" s="205"/>
      <c r="M218" s="210"/>
      <c r="N218" s="210"/>
    </row>
    <row r="219" spans="2:14" x14ac:dyDescent="0.45">
      <c r="B219" s="90"/>
      <c r="C219" s="90"/>
      <c r="D219" s="110" t="s">
        <v>455</v>
      </c>
      <c r="E219" s="358"/>
      <c r="F219" s="111" t="s">
        <v>454</v>
      </c>
      <c r="G219" s="90"/>
      <c r="H219" s="90"/>
      <c r="I219" s="90"/>
      <c r="J219" s="90"/>
      <c r="K219" s="90"/>
      <c r="L219" s="205"/>
      <c r="M219" s="210"/>
      <c r="N219" s="210"/>
    </row>
    <row r="220" spans="2:14" x14ac:dyDescent="0.45">
      <c r="B220" s="87" t="s">
        <v>137</v>
      </c>
      <c r="C220" s="87" t="s">
        <v>24</v>
      </c>
      <c r="D220" s="113">
        <f>D6*$H$216*$H$217*10^-6</f>
        <v>0</v>
      </c>
      <c r="E220" s="113"/>
      <c r="F220" s="113">
        <f>F6*$H$216*$H$217*10^-6</f>
        <v>0</v>
      </c>
      <c r="G220" s="90"/>
      <c r="H220" s="90"/>
      <c r="I220" s="90"/>
      <c r="J220" s="90"/>
      <c r="K220" s="90"/>
      <c r="L220" s="205"/>
      <c r="M220" s="210"/>
      <c r="N220" s="210"/>
    </row>
    <row r="221" spans="2:14" x14ac:dyDescent="0.45">
      <c r="B221" s="87"/>
      <c r="C221" s="87" t="s">
        <v>25</v>
      </c>
      <c r="D221" s="113">
        <f>D7*$H$216*$H$217*10^-6</f>
        <v>0</v>
      </c>
      <c r="E221" s="113"/>
      <c r="F221" s="113">
        <f>F7*$H$216*$H$217*10^-6</f>
        <v>0</v>
      </c>
      <c r="G221" s="90"/>
      <c r="H221" s="90"/>
      <c r="I221" s="90"/>
      <c r="J221" s="90"/>
      <c r="K221" s="90"/>
      <c r="L221" s="205"/>
      <c r="M221" s="210"/>
      <c r="N221" s="210"/>
    </row>
    <row r="222" spans="2:14" x14ac:dyDescent="0.45">
      <c r="B222" s="87"/>
      <c r="C222" s="87" t="s">
        <v>26</v>
      </c>
      <c r="D222" s="113">
        <f>D8*$H$216*$H$217*10^-6</f>
        <v>0</v>
      </c>
      <c r="E222" s="113"/>
      <c r="F222" s="113">
        <f>F8*$H$216*$H$217*10^-6</f>
        <v>0</v>
      </c>
      <c r="G222" s="90"/>
      <c r="H222" s="90"/>
      <c r="I222" s="90"/>
      <c r="J222" s="90"/>
      <c r="K222" s="90"/>
      <c r="L222" s="205"/>
      <c r="M222" s="210"/>
      <c r="N222" s="210"/>
    </row>
    <row r="223" spans="2:14" x14ac:dyDescent="0.45">
      <c r="B223" s="87"/>
      <c r="C223" s="87" t="s">
        <v>27</v>
      </c>
      <c r="D223" s="113">
        <f>D9*$H$216*$H$217*10^-6</f>
        <v>0</v>
      </c>
      <c r="E223" s="113"/>
      <c r="F223" s="113">
        <f>F9*$H$216*$H$217*10^-6</f>
        <v>0</v>
      </c>
      <c r="G223" s="90"/>
      <c r="H223" s="90"/>
      <c r="I223" s="90"/>
      <c r="J223" s="90"/>
      <c r="K223" s="90"/>
      <c r="L223" s="205"/>
      <c r="M223" s="210"/>
      <c r="N223" s="210"/>
    </row>
    <row r="224" spans="2:14" x14ac:dyDescent="0.45">
      <c r="B224" s="87"/>
      <c r="C224" s="87"/>
      <c r="D224" s="113"/>
      <c r="E224" s="113"/>
      <c r="F224" s="113"/>
      <c r="G224" s="90"/>
      <c r="H224" s="90"/>
      <c r="I224" s="90"/>
      <c r="J224" s="90"/>
      <c r="K224" s="90"/>
      <c r="L224" s="205"/>
      <c r="M224" s="210"/>
      <c r="N224" s="210"/>
    </row>
    <row r="225" spans="2:14" x14ac:dyDescent="0.45">
      <c r="B225" s="87"/>
      <c r="C225" s="87"/>
      <c r="D225" s="110" t="s">
        <v>455</v>
      </c>
      <c r="E225" s="358"/>
      <c r="F225" s="111" t="s">
        <v>454</v>
      </c>
      <c r="G225" s="90"/>
      <c r="H225" s="90"/>
      <c r="I225" s="90"/>
      <c r="J225" s="90"/>
      <c r="K225" s="90"/>
      <c r="L225" s="205"/>
      <c r="M225" s="210"/>
      <c r="N225" s="210"/>
    </row>
    <row r="226" spans="2:14" x14ac:dyDescent="0.45">
      <c r="B226" s="87" t="s">
        <v>62</v>
      </c>
      <c r="C226" s="87" t="s">
        <v>24</v>
      </c>
      <c r="D226" s="113">
        <f>D12*$H$216*$H$217*10^-6</f>
        <v>3.1002000000000002E-2</v>
      </c>
      <c r="E226" s="113"/>
      <c r="F226" s="113">
        <f>F12*$H$216*$H$217*10^-6</f>
        <v>0</v>
      </c>
      <c r="G226" s="90"/>
      <c r="H226" s="90"/>
      <c r="I226" s="90"/>
      <c r="J226" s="90"/>
      <c r="K226" s="90"/>
      <c r="L226" s="205"/>
      <c r="M226" s="210"/>
      <c r="N226" s="210"/>
    </row>
    <row r="227" spans="2:14" x14ac:dyDescent="0.45">
      <c r="B227" s="87"/>
      <c r="C227" s="87" t="s">
        <v>25</v>
      </c>
      <c r="D227" s="113">
        <f>D13*$H$216*$H$217*10^-6</f>
        <v>0</v>
      </c>
      <c r="E227" s="113"/>
      <c r="F227" s="113">
        <f>F13*$H$216*$H$217*10^-6</f>
        <v>0</v>
      </c>
      <c r="G227" s="90"/>
      <c r="H227" s="90"/>
      <c r="I227" s="90"/>
      <c r="J227" s="90"/>
      <c r="K227" s="90"/>
      <c r="L227" s="205"/>
      <c r="M227" s="210"/>
      <c r="N227" s="210"/>
    </row>
    <row r="228" spans="2:14" x14ac:dyDescent="0.45">
      <c r="B228" s="87"/>
      <c r="C228" s="87" t="s">
        <v>26</v>
      </c>
      <c r="D228" s="113">
        <f>D14*$H$216*$H$217*10^-6</f>
        <v>8.0580914999999989E-2</v>
      </c>
      <c r="E228" s="113"/>
      <c r="F228" s="113">
        <f>F14*$H$216*$H$217*10^-6</f>
        <v>0</v>
      </c>
      <c r="G228" s="90"/>
      <c r="H228" s="90"/>
      <c r="I228" s="90"/>
      <c r="J228" s="90"/>
      <c r="K228" s="90"/>
      <c r="L228" s="205"/>
      <c r="M228" s="210"/>
      <c r="N228" s="210"/>
    </row>
    <row r="229" spans="2:14" x14ac:dyDescent="0.45">
      <c r="B229" s="87"/>
      <c r="C229" s="87" t="s">
        <v>27</v>
      </c>
      <c r="D229" s="113">
        <f>D15*$H$216*$H$217*10^-6</f>
        <v>0</v>
      </c>
      <c r="E229" s="113"/>
      <c r="F229" s="113">
        <f>F15*$H$216*$H$217*10^-6</f>
        <v>0</v>
      </c>
      <c r="G229" s="90"/>
      <c r="H229" s="90"/>
      <c r="I229" s="90"/>
      <c r="J229" s="90"/>
      <c r="K229" s="90"/>
      <c r="L229" s="205"/>
      <c r="M229" s="210"/>
      <c r="N229" s="210"/>
    </row>
    <row r="230" spans="2:14" x14ac:dyDescent="0.45">
      <c r="B230" s="90"/>
      <c r="C230" s="90"/>
      <c r="D230" s="90"/>
      <c r="E230" s="90"/>
      <c r="F230" s="90"/>
      <c r="G230" s="90"/>
      <c r="H230" s="90"/>
      <c r="I230" s="90"/>
      <c r="J230" s="90"/>
      <c r="K230" s="90"/>
      <c r="L230" s="205"/>
      <c r="M230" s="210"/>
      <c r="N230" s="210"/>
    </row>
    <row r="231" spans="2:14" x14ac:dyDescent="0.45">
      <c r="B231" s="101" t="s">
        <v>239</v>
      </c>
      <c r="C231" s="90"/>
      <c r="D231" s="101" t="s">
        <v>159</v>
      </c>
      <c r="E231" s="90"/>
      <c r="F231" s="90"/>
      <c r="G231" s="90"/>
      <c r="H231" s="90"/>
      <c r="I231" s="90"/>
      <c r="J231" s="90"/>
      <c r="K231" s="90"/>
      <c r="L231" s="205" t="s">
        <v>761</v>
      </c>
      <c r="M231" s="205" t="s">
        <v>243</v>
      </c>
      <c r="N231" s="205" t="s">
        <v>197</v>
      </c>
    </row>
    <row r="232" spans="2:14" x14ac:dyDescent="0.45">
      <c r="B232" s="90"/>
      <c r="C232" s="90"/>
      <c r="D232" s="90" t="s">
        <v>161</v>
      </c>
      <c r="E232" s="90"/>
      <c r="F232" s="90"/>
      <c r="G232" s="90"/>
      <c r="H232" s="90"/>
      <c r="I232" s="90"/>
      <c r="J232" s="90"/>
      <c r="K232" s="90"/>
      <c r="L232" s="205"/>
      <c r="M232" s="210"/>
      <c r="N232" s="210"/>
    </row>
    <row r="233" spans="2:14" x14ac:dyDescent="0.45">
      <c r="B233" s="90"/>
      <c r="C233" s="90"/>
      <c r="D233" s="90" t="s">
        <v>163</v>
      </c>
      <c r="E233" s="90"/>
      <c r="F233" s="90"/>
      <c r="G233" s="90"/>
      <c r="H233" s="110"/>
      <c r="I233" s="90"/>
      <c r="J233" s="90"/>
      <c r="K233" s="90" t="s">
        <v>149</v>
      </c>
      <c r="L233" s="205"/>
      <c r="M233" s="210"/>
      <c r="N233" s="210"/>
    </row>
    <row r="234" spans="2:14" x14ac:dyDescent="0.45">
      <c r="B234" s="90"/>
      <c r="C234" s="90"/>
      <c r="D234" s="90"/>
      <c r="E234" s="90"/>
      <c r="F234" s="90"/>
      <c r="G234" s="90"/>
      <c r="H234" s="110"/>
      <c r="I234" s="90"/>
      <c r="J234" s="90"/>
      <c r="K234" s="90" t="s">
        <v>238</v>
      </c>
      <c r="L234" s="205"/>
      <c r="M234" s="210"/>
      <c r="N234" s="210"/>
    </row>
    <row r="235" spans="2:14" x14ac:dyDescent="0.45">
      <c r="B235" s="90"/>
      <c r="C235" s="90"/>
      <c r="D235" s="90" t="s">
        <v>367</v>
      </c>
      <c r="E235" s="90"/>
      <c r="F235" s="90"/>
      <c r="G235" s="90"/>
      <c r="H235" s="90">
        <f>H216</f>
        <v>1</v>
      </c>
      <c r="I235" s="90"/>
      <c r="J235" s="90"/>
      <c r="K235" s="90"/>
      <c r="L235" s="205"/>
      <c r="M235" s="210"/>
      <c r="N235" s="210"/>
    </row>
    <row r="236" spans="2:14" x14ac:dyDescent="0.45">
      <c r="B236" s="90"/>
      <c r="C236" s="90"/>
      <c r="D236" s="90" t="s">
        <v>164</v>
      </c>
      <c r="E236" s="90"/>
      <c r="F236" s="90"/>
      <c r="G236" s="90"/>
      <c r="H236" s="90">
        <v>0.3</v>
      </c>
      <c r="I236" s="90"/>
      <c r="J236" s="90"/>
      <c r="K236" s="90" t="s">
        <v>461</v>
      </c>
      <c r="L236" s="205"/>
      <c r="M236" s="210"/>
      <c r="N236" s="210"/>
    </row>
    <row r="237" spans="2:14" x14ac:dyDescent="0.45">
      <c r="B237" s="90"/>
      <c r="C237" s="90"/>
      <c r="D237" s="90"/>
      <c r="E237" s="90"/>
      <c r="F237" s="90"/>
      <c r="G237" s="90"/>
      <c r="H237" s="90"/>
      <c r="I237" s="90"/>
      <c r="J237" s="90"/>
      <c r="K237" s="90"/>
      <c r="L237" s="205"/>
      <c r="M237" s="210"/>
      <c r="N237" s="210"/>
    </row>
    <row r="238" spans="2:14" x14ac:dyDescent="0.45">
      <c r="B238" s="90"/>
      <c r="C238" s="90"/>
      <c r="D238" s="110" t="s">
        <v>455</v>
      </c>
      <c r="E238" s="358"/>
      <c r="F238" s="111" t="s">
        <v>454</v>
      </c>
      <c r="G238" s="90"/>
      <c r="H238" s="90"/>
      <c r="I238" s="90"/>
      <c r="J238" s="90"/>
      <c r="K238" s="90"/>
      <c r="L238" s="205"/>
      <c r="M238" s="210"/>
      <c r="N238" s="210"/>
    </row>
    <row r="239" spans="2:14" x14ac:dyDescent="0.45">
      <c r="B239" s="87" t="s">
        <v>137</v>
      </c>
      <c r="C239" s="87" t="s">
        <v>24</v>
      </c>
      <c r="D239" s="113">
        <f>D59*$H$235*$H$236</f>
        <v>0</v>
      </c>
      <c r="E239" s="113"/>
      <c r="F239" s="113">
        <f>F59*$H$235*$H$236</f>
        <v>0</v>
      </c>
      <c r="G239" s="90"/>
      <c r="H239" s="90"/>
      <c r="I239" s="90"/>
      <c r="J239" s="90"/>
      <c r="K239" s="87" t="s">
        <v>138</v>
      </c>
      <c r="L239" s="205"/>
      <c r="M239" s="210"/>
      <c r="N239" s="210"/>
    </row>
    <row r="240" spans="2:14" x14ac:dyDescent="0.45">
      <c r="B240" s="87"/>
      <c r="C240" s="87" t="s">
        <v>25</v>
      </c>
      <c r="D240" s="113">
        <f>D60*$H$235*$H$236</f>
        <v>0</v>
      </c>
      <c r="E240" s="113"/>
      <c r="F240" s="113">
        <f>F60*$H$235*$H$236</f>
        <v>0</v>
      </c>
      <c r="G240" s="90"/>
      <c r="H240" s="90"/>
      <c r="I240" s="90"/>
      <c r="J240" s="90"/>
      <c r="K240" s="87" t="s">
        <v>138</v>
      </c>
      <c r="L240" s="205"/>
      <c r="M240" s="210"/>
      <c r="N240" s="210"/>
    </row>
    <row r="241" spans="2:14" x14ac:dyDescent="0.45">
      <c r="B241" s="87"/>
      <c r="C241" s="87" t="s">
        <v>26</v>
      </c>
      <c r="D241" s="113">
        <f>D61*$H$235*$H$236</f>
        <v>0</v>
      </c>
      <c r="E241" s="113"/>
      <c r="F241" s="113">
        <f>F61*$H$235*$H$236</f>
        <v>0</v>
      </c>
      <c r="G241" s="90"/>
      <c r="H241" s="90"/>
      <c r="I241" s="90"/>
      <c r="J241" s="90"/>
      <c r="K241" s="87" t="s">
        <v>138</v>
      </c>
      <c r="L241" s="205"/>
      <c r="M241" s="210"/>
      <c r="N241" s="210"/>
    </row>
    <row r="242" spans="2:14" x14ac:dyDescent="0.45">
      <c r="B242" s="87"/>
      <c r="C242" s="87" t="s">
        <v>27</v>
      </c>
      <c r="D242" s="113">
        <f>D62*$H$235*$H$236</f>
        <v>0</v>
      </c>
      <c r="E242" s="113"/>
      <c r="F242" s="113">
        <f>F62*$H$235*$H$236</f>
        <v>0</v>
      </c>
      <c r="G242" s="90"/>
      <c r="H242" s="90"/>
      <c r="I242" s="90"/>
      <c r="J242" s="90"/>
      <c r="K242" s="87" t="s">
        <v>138</v>
      </c>
      <c r="L242" s="205"/>
      <c r="M242" s="210"/>
      <c r="N242" s="210"/>
    </row>
    <row r="243" spans="2:14" x14ac:dyDescent="0.45">
      <c r="B243" s="87"/>
      <c r="C243" s="87"/>
      <c r="D243" s="90"/>
      <c r="E243" s="90"/>
      <c r="F243" s="90"/>
      <c r="G243" s="90"/>
      <c r="H243" s="90"/>
      <c r="I243" s="90"/>
      <c r="J243" s="90"/>
      <c r="K243" s="90"/>
      <c r="L243" s="205"/>
      <c r="M243" s="210"/>
      <c r="N243" s="210"/>
    </row>
    <row r="244" spans="2:14" x14ac:dyDescent="0.45">
      <c r="B244" s="87"/>
      <c r="C244" s="87"/>
      <c r="D244" s="110" t="s">
        <v>455</v>
      </c>
      <c r="E244" s="358"/>
      <c r="F244" s="111" t="s">
        <v>454</v>
      </c>
      <c r="G244" s="90"/>
      <c r="H244" s="90"/>
      <c r="I244" s="90"/>
      <c r="J244" s="90"/>
      <c r="K244" s="90"/>
      <c r="L244" s="205"/>
      <c r="M244" s="210"/>
      <c r="N244" s="210"/>
    </row>
    <row r="245" spans="2:14" x14ac:dyDescent="0.45">
      <c r="B245" s="87" t="s">
        <v>62</v>
      </c>
      <c r="C245" s="87" t="s">
        <v>24</v>
      </c>
      <c r="D245" s="113">
        <f>D65*$H$235*$H$236</f>
        <v>0</v>
      </c>
      <c r="E245" s="113"/>
      <c r="F245" s="113">
        <f>F65*$H$235*$H$236</f>
        <v>0</v>
      </c>
      <c r="G245" s="90"/>
      <c r="H245" s="90"/>
      <c r="I245" s="90"/>
      <c r="J245" s="90"/>
      <c r="K245" s="87" t="s">
        <v>138</v>
      </c>
      <c r="L245" s="205"/>
      <c r="M245" s="210"/>
      <c r="N245" s="210"/>
    </row>
    <row r="246" spans="2:14" x14ac:dyDescent="0.45">
      <c r="B246" s="87"/>
      <c r="C246" s="87" t="s">
        <v>25</v>
      </c>
      <c r="D246" s="113">
        <f>D66*$H$235*$H$236</f>
        <v>0</v>
      </c>
      <c r="E246" s="113"/>
      <c r="F246" s="113">
        <f>F66*$H$235*$H$236</f>
        <v>0</v>
      </c>
      <c r="G246" s="90"/>
      <c r="H246" s="90"/>
      <c r="I246" s="90"/>
      <c r="J246" s="90"/>
      <c r="K246" s="87" t="s">
        <v>138</v>
      </c>
      <c r="L246" s="205"/>
      <c r="M246" s="210"/>
      <c r="N246" s="210"/>
    </row>
    <row r="247" spans="2:14" x14ac:dyDescent="0.45">
      <c r="B247" s="87"/>
      <c r="C247" s="87" t="s">
        <v>26</v>
      </c>
      <c r="D247" s="113">
        <f>D67*$H$235*$H$236</f>
        <v>0</v>
      </c>
      <c r="E247" s="113"/>
      <c r="F247" s="113">
        <f>F67*$H$235*$H$236</f>
        <v>0</v>
      </c>
      <c r="G247" s="90"/>
      <c r="H247" s="90"/>
      <c r="I247" s="90"/>
      <c r="J247" s="90"/>
      <c r="K247" s="87" t="s">
        <v>138</v>
      </c>
      <c r="L247" s="205"/>
      <c r="M247" s="210"/>
      <c r="N247" s="210"/>
    </row>
    <row r="248" spans="2:14" x14ac:dyDescent="0.45">
      <c r="B248" s="87"/>
      <c r="C248" s="87" t="s">
        <v>27</v>
      </c>
      <c r="D248" s="113">
        <f>D68*$H$235*$H$236</f>
        <v>0</v>
      </c>
      <c r="E248" s="113"/>
      <c r="F248" s="113">
        <f>F68*$H$235*$H$236</f>
        <v>0</v>
      </c>
      <c r="G248" s="90"/>
      <c r="H248" s="90"/>
      <c r="I248" s="90"/>
      <c r="J248" s="90"/>
      <c r="K248" s="87" t="s">
        <v>138</v>
      </c>
      <c r="L248" s="205"/>
      <c r="M248" s="210"/>
      <c r="N248" s="210"/>
    </row>
    <row r="249" spans="2:14" x14ac:dyDescent="0.45">
      <c r="B249" s="90"/>
      <c r="C249" s="90"/>
      <c r="D249" s="90"/>
      <c r="E249" s="90"/>
      <c r="F249" s="90"/>
      <c r="G249" s="90"/>
      <c r="H249" s="90"/>
      <c r="I249" s="90"/>
      <c r="J249" s="90"/>
      <c r="K249" s="90"/>
      <c r="L249" s="205"/>
      <c r="M249" s="210"/>
      <c r="N249" s="210"/>
    </row>
    <row r="250" spans="2:14" x14ac:dyDescent="0.45">
      <c r="B250" s="101" t="s">
        <v>167</v>
      </c>
      <c r="C250" s="90"/>
      <c r="D250" s="101" t="s">
        <v>150</v>
      </c>
      <c r="E250" s="90"/>
      <c r="F250" s="90"/>
      <c r="G250" s="90"/>
      <c r="H250" s="90"/>
      <c r="I250" s="90"/>
      <c r="J250" s="90"/>
      <c r="K250" s="90"/>
      <c r="L250" s="205" t="s">
        <v>168</v>
      </c>
      <c r="M250" s="205" t="s">
        <v>764</v>
      </c>
      <c r="N250" s="205" t="s">
        <v>759</v>
      </c>
    </row>
    <row r="251" spans="2:14" x14ac:dyDescent="0.45">
      <c r="B251" s="90"/>
      <c r="C251" s="90"/>
      <c r="D251" s="90"/>
      <c r="E251" s="90"/>
      <c r="F251" s="90"/>
      <c r="G251" s="90"/>
      <c r="H251" s="90"/>
      <c r="I251" s="90"/>
      <c r="J251" s="90"/>
      <c r="K251" s="90"/>
      <c r="L251" s="205"/>
      <c r="M251" s="210"/>
      <c r="N251" s="210"/>
    </row>
    <row r="252" spans="2:14" x14ac:dyDescent="0.45">
      <c r="B252" s="90"/>
      <c r="C252" s="90"/>
      <c r="D252" s="90" t="s">
        <v>224</v>
      </c>
      <c r="E252" s="90">
        <v>7.4999999999999997E-3</v>
      </c>
      <c r="F252" s="90"/>
      <c r="G252" s="90"/>
      <c r="H252" s="90"/>
      <c r="I252" s="90"/>
      <c r="J252" s="90"/>
      <c r="K252" s="90"/>
      <c r="L252" s="205"/>
      <c r="M252" s="210"/>
      <c r="N252" s="205" t="s">
        <v>204</v>
      </c>
    </row>
    <row r="253" spans="2:14" x14ac:dyDescent="0.45">
      <c r="B253" s="90"/>
      <c r="C253" s="90"/>
      <c r="D253" s="90" t="s">
        <v>225</v>
      </c>
      <c r="E253" s="102">
        <f>'GWP Factors'!C15</f>
        <v>1.5714285714285714</v>
      </c>
      <c r="F253" s="90"/>
      <c r="G253" s="90"/>
      <c r="H253" s="90"/>
      <c r="I253" s="90"/>
      <c r="J253" s="90"/>
      <c r="K253" s="90"/>
      <c r="L253" s="205"/>
      <c r="M253" s="210"/>
      <c r="N253" s="210"/>
    </row>
    <row r="254" spans="2:14" x14ac:dyDescent="0.45">
      <c r="B254" s="90"/>
      <c r="C254" s="90"/>
      <c r="D254" s="90"/>
      <c r="E254" s="90"/>
      <c r="F254" s="90"/>
      <c r="G254" s="90"/>
      <c r="H254" s="90"/>
      <c r="I254" s="90"/>
      <c r="J254" s="90"/>
      <c r="K254" s="90"/>
      <c r="L254" s="205"/>
      <c r="M254" s="210"/>
      <c r="N254" s="210"/>
    </row>
    <row r="255" spans="2:14" x14ac:dyDescent="0.45">
      <c r="B255" s="101" t="s">
        <v>462</v>
      </c>
      <c r="C255" s="90"/>
      <c r="D255" s="110" t="s">
        <v>455</v>
      </c>
      <c r="E255" s="358"/>
      <c r="F255" s="111" t="s">
        <v>454</v>
      </c>
      <c r="G255" s="90"/>
      <c r="H255" s="90"/>
      <c r="I255" s="90"/>
      <c r="J255" s="90"/>
      <c r="K255" s="90"/>
      <c r="L255" s="205"/>
      <c r="M255" s="210"/>
      <c r="N255" s="210"/>
    </row>
    <row r="256" spans="2:14" x14ac:dyDescent="0.45">
      <c r="B256" s="87" t="s">
        <v>137</v>
      </c>
      <c r="C256" s="87" t="s">
        <v>24</v>
      </c>
      <c r="D256" s="113">
        <f>D220*$E$252*$E$253</f>
        <v>0</v>
      </c>
      <c r="E256" s="90"/>
      <c r="F256" s="113">
        <f>F220*$E$252*$E$253</f>
        <v>0</v>
      </c>
      <c r="G256" s="90"/>
      <c r="H256" s="90"/>
      <c r="I256" s="90"/>
      <c r="J256" s="90"/>
      <c r="K256" s="90"/>
      <c r="L256" s="205"/>
      <c r="M256" s="210"/>
      <c r="N256" s="210"/>
    </row>
    <row r="257" spans="2:14" x14ac:dyDescent="0.45">
      <c r="B257" s="87"/>
      <c r="C257" s="87" t="s">
        <v>25</v>
      </c>
      <c r="D257" s="113">
        <f t="shared" ref="D257:F259" si="38">D221*$E$252*$E$253</f>
        <v>0</v>
      </c>
      <c r="E257" s="90"/>
      <c r="F257" s="113">
        <f t="shared" si="38"/>
        <v>0</v>
      </c>
      <c r="G257" s="90"/>
      <c r="H257" s="90"/>
      <c r="I257" s="90"/>
      <c r="J257" s="90"/>
      <c r="K257" s="90"/>
      <c r="L257" s="205"/>
      <c r="M257" s="210"/>
      <c r="N257" s="210"/>
    </row>
    <row r="258" spans="2:14" x14ac:dyDescent="0.45">
      <c r="B258" s="87"/>
      <c r="C258" s="87" t="s">
        <v>26</v>
      </c>
      <c r="D258" s="113">
        <f t="shared" si="38"/>
        <v>0</v>
      </c>
      <c r="E258" s="90"/>
      <c r="F258" s="113">
        <f t="shared" si="38"/>
        <v>0</v>
      </c>
      <c r="G258" s="90"/>
      <c r="H258" s="90"/>
      <c r="I258" s="90"/>
      <c r="J258" s="90"/>
      <c r="K258" s="90"/>
      <c r="L258" s="205"/>
      <c r="M258" s="210"/>
      <c r="N258" s="210"/>
    </row>
    <row r="259" spans="2:14" x14ac:dyDescent="0.45">
      <c r="B259" s="87"/>
      <c r="C259" s="87" t="s">
        <v>27</v>
      </c>
      <c r="D259" s="113">
        <f t="shared" si="38"/>
        <v>0</v>
      </c>
      <c r="E259" s="87"/>
      <c r="F259" s="113">
        <f t="shared" si="38"/>
        <v>0</v>
      </c>
      <c r="G259" s="87"/>
      <c r="H259" s="87"/>
      <c r="I259" s="90"/>
      <c r="J259" s="90"/>
      <c r="K259" s="90"/>
      <c r="L259" s="205"/>
      <c r="M259" s="210"/>
      <c r="N259" s="210"/>
    </row>
    <row r="260" spans="2:14" x14ac:dyDescent="0.45">
      <c r="B260" s="87"/>
      <c r="C260" s="87"/>
      <c r="D260" s="87"/>
      <c r="E260" s="87"/>
      <c r="F260" s="87"/>
      <c r="G260" s="87"/>
      <c r="H260" s="87"/>
      <c r="I260" s="90"/>
      <c r="J260" s="90"/>
      <c r="K260" s="90"/>
      <c r="L260" s="205"/>
      <c r="M260" s="210"/>
      <c r="N260" s="210"/>
    </row>
    <row r="261" spans="2:14" x14ac:dyDescent="0.45">
      <c r="B261" s="87"/>
      <c r="C261" s="87"/>
      <c r="D261" s="110" t="s">
        <v>455</v>
      </c>
      <c r="E261" s="358"/>
      <c r="F261" s="111" t="s">
        <v>454</v>
      </c>
      <c r="G261" s="87"/>
      <c r="H261" s="87"/>
      <c r="I261" s="90"/>
      <c r="J261" s="90"/>
      <c r="K261" s="90"/>
      <c r="L261" s="205"/>
      <c r="M261" s="210"/>
      <c r="N261" s="210"/>
    </row>
    <row r="262" spans="2:14" x14ac:dyDescent="0.45">
      <c r="B262" s="87" t="s">
        <v>62</v>
      </c>
      <c r="C262" s="87" t="s">
        <v>24</v>
      </c>
      <c r="D262" s="113">
        <f>D226*$E$252*$E$253</f>
        <v>3.6538071428571429E-4</v>
      </c>
      <c r="E262" s="169"/>
      <c r="F262" s="113">
        <f>F226*$E$252*$E$253</f>
        <v>0</v>
      </c>
      <c r="G262" s="87"/>
      <c r="H262" s="87"/>
      <c r="I262" s="90"/>
      <c r="J262" s="90"/>
      <c r="K262" s="90"/>
      <c r="L262" s="205"/>
      <c r="M262" s="210"/>
      <c r="N262" s="210"/>
    </row>
    <row r="263" spans="2:14" x14ac:dyDescent="0.45">
      <c r="B263" s="87"/>
      <c r="C263" s="87" t="s">
        <v>25</v>
      </c>
      <c r="D263" s="113">
        <f t="shared" ref="D263" si="39">D227*$E$252*$E$253</f>
        <v>0</v>
      </c>
      <c r="E263" s="169"/>
      <c r="F263" s="113">
        <f t="shared" ref="F263" si="40">F227*$E$252*$E$253</f>
        <v>0</v>
      </c>
      <c r="G263" s="87"/>
      <c r="H263" s="87"/>
      <c r="I263" s="90"/>
      <c r="J263" s="90"/>
      <c r="K263" s="90"/>
      <c r="L263" s="205"/>
      <c r="M263" s="210"/>
      <c r="N263" s="210"/>
    </row>
    <row r="264" spans="2:14" x14ac:dyDescent="0.45">
      <c r="B264" s="87"/>
      <c r="C264" s="87" t="s">
        <v>26</v>
      </c>
      <c r="D264" s="113">
        <f t="shared" ref="D264" si="41">D228*$E$252*$E$253</f>
        <v>9.4970364107142846E-4</v>
      </c>
      <c r="E264" s="169"/>
      <c r="F264" s="113">
        <f t="shared" ref="F264" si="42">F228*$E$252*$E$253</f>
        <v>0</v>
      </c>
      <c r="G264" s="87"/>
      <c r="H264" s="87"/>
      <c r="I264" s="90"/>
      <c r="J264" s="90"/>
      <c r="K264" s="90"/>
      <c r="L264" s="205"/>
      <c r="M264" s="210"/>
      <c r="N264" s="210"/>
    </row>
    <row r="265" spans="2:14" x14ac:dyDescent="0.45">
      <c r="B265" s="87"/>
      <c r="C265" s="87" t="s">
        <v>27</v>
      </c>
      <c r="D265" s="113">
        <f t="shared" ref="D265" si="43">D229*$E$252*$E$253</f>
        <v>0</v>
      </c>
      <c r="E265" s="218"/>
      <c r="F265" s="113">
        <f t="shared" ref="F265" si="44">F229*$E$252*$E$253</f>
        <v>0</v>
      </c>
      <c r="G265" s="87"/>
      <c r="H265" s="87"/>
      <c r="I265" s="90"/>
      <c r="J265" s="90"/>
      <c r="K265" s="90"/>
      <c r="L265" s="205"/>
      <c r="M265" s="210"/>
      <c r="N265" s="210"/>
    </row>
    <row r="266" spans="2:14" x14ac:dyDescent="0.45">
      <c r="B266" s="90"/>
      <c r="C266" s="87"/>
      <c r="D266" s="216"/>
      <c r="E266" s="218"/>
      <c r="F266" s="93"/>
      <c r="G266" s="87"/>
      <c r="H266" s="87"/>
      <c r="I266" s="90"/>
      <c r="J266" s="90"/>
      <c r="K266" s="90"/>
      <c r="L266" s="205"/>
      <c r="M266" s="210"/>
      <c r="N266" s="210"/>
    </row>
    <row r="267" spans="2:14" x14ac:dyDescent="0.45">
      <c r="B267" s="101" t="s">
        <v>463</v>
      </c>
      <c r="C267" s="90"/>
      <c r="D267" s="110" t="s">
        <v>455</v>
      </c>
      <c r="E267" s="358"/>
      <c r="F267" s="111" t="s">
        <v>454</v>
      </c>
      <c r="G267" s="87"/>
      <c r="H267" s="87"/>
      <c r="I267" s="90"/>
      <c r="J267" s="90"/>
      <c r="K267" s="90"/>
      <c r="L267" s="205"/>
      <c r="M267" s="210"/>
      <c r="N267" s="210"/>
    </row>
    <row r="268" spans="2:14" x14ac:dyDescent="0.45">
      <c r="B268" s="87" t="s">
        <v>137</v>
      </c>
      <c r="C268" s="87" t="s">
        <v>24</v>
      </c>
      <c r="D268" s="360">
        <f>D239*$E$252*$E$253</f>
        <v>0</v>
      </c>
      <c r="E268" s="87"/>
      <c r="F268" s="360">
        <f>F239*$E$252*$E$253</f>
        <v>0</v>
      </c>
      <c r="G268" s="87"/>
      <c r="H268" s="87"/>
      <c r="I268" s="90"/>
      <c r="J268" s="99"/>
      <c r="K268" s="90"/>
      <c r="L268" s="205"/>
      <c r="M268" s="210"/>
      <c r="N268" s="210"/>
    </row>
    <row r="269" spans="2:14" x14ac:dyDescent="0.45">
      <c r="B269" s="87"/>
      <c r="C269" s="87" t="s">
        <v>25</v>
      </c>
      <c r="D269" s="360">
        <f t="shared" ref="D269:F271" si="45">D240*$E$252*$E$253</f>
        <v>0</v>
      </c>
      <c r="E269" s="87"/>
      <c r="F269" s="360">
        <f t="shared" si="45"/>
        <v>0</v>
      </c>
      <c r="G269" s="87"/>
      <c r="H269" s="87"/>
      <c r="I269" s="90"/>
      <c r="J269" s="90"/>
      <c r="K269" s="90"/>
      <c r="L269" s="205"/>
      <c r="M269" s="205"/>
      <c r="N269" s="205"/>
    </row>
    <row r="270" spans="2:14" x14ac:dyDescent="0.45">
      <c r="B270" s="87"/>
      <c r="C270" s="87" t="s">
        <v>26</v>
      </c>
      <c r="D270" s="360">
        <f t="shared" si="45"/>
        <v>0</v>
      </c>
      <c r="E270" s="87"/>
      <c r="F270" s="360">
        <f t="shared" si="45"/>
        <v>0</v>
      </c>
      <c r="G270" s="87"/>
      <c r="H270" s="87"/>
      <c r="I270" s="90"/>
      <c r="J270" s="90"/>
      <c r="K270" s="90"/>
      <c r="L270" s="205"/>
      <c r="M270" s="210"/>
      <c r="N270" s="210"/>
    </row>
    <row r="271" spans="2:14" x14ac:dyDescent="0.45">
      <c r="B271" s="87"/>
      <c r="C271" s="87" t="s">
        <v>27</v>
      </c>
      <c r="D271" s="360">
        <f t="shared" si="45"/>
        <v>0</v>
      </c>
      <c r="E271" s="87"/>
      <c r="F271" s="360">
        <f t="shared" si="45"/>
        <v>0</v>
      </c>
      <c r="G271" s="87"/>
      <c r="H271" s="111"/>
      <c r="I271" s="90"/>
      <c r="J271" s="90"/>
      <c r="K271" s="90"/>
      <c r="L271" s="205"/>
      <c r="M271" s="210"/>
      <c r="N271" s="210"/>
    </row>
    <row r="272" spans="2:14" x14ac:dyDescent="0.45">
      <c r="B272" s="87"/>
      <c r="C272" s="87"/>
      <c r="D272" s="87"/>
      <c r="E272" s="87"/>
      <c r="F272" s="87"/>
      <c r="G272" s="87"/>
      <c r="H272" s="111"/>
      <c r="I272" s="90"/>
      <c r="J272" s="90"/>
      <c r="K272" s="90"/>
      <c r="L272" s="205"/>
      <c r="M272" s="210"/>
      <c r="N272" s="210"/>
    </row>
    <row r="273" spans="2:14" x14ac:dyDescent="0.45">
      <c r="B273" s="87"/>
      <c r="C273" s="87"/>
      <c r="D273" s="110" t="s">
        <v>455</v>
      </c>
      <c r="E273" s="358"/>
      <c r="F273" s="111" t="s">
        <v>454</v>
      </c>
      <c r="G273" s="87"/>
      <c r="H273" s="87"/>
      <c r="I273" s="90"/>
      <c r="J273" s="90"/>
      <c r="K273" s="90"/>
      <c r="L273" s="205"/>
      <c r="M273" s="210"/>
      <c r="N273" s="210"/>
    </row>
    <row r="274" spans="2:14" x14ac:dyDescent="0.45">
      <c r="B274" s="87" t="s">
        <v>62</v>
      </c>
      <c r="C274" s="87" t="s">
        <v>24</v>
      </c>
      <c r="D274" s="360">
        <f>D245*$E$252*$E$253</f>
        <v>0</v>
      </c>
      <c r="E274" s="169"/>
      <c r="F274" s="360">
        <f>F245*$E$252*$E$253</f>
        <v>0</v>
      </c>
      <c r="G274" s="87"/>
      <c r="H274" s="87"/>
      <c r="I274" s="90"/>
      <c r="J274" s="90"/>
      <c r="K274" s="90"/>
      <c r="L274" s="205"/>
      <c r="M274" s="210"/>
      <c r="N274" s="210"/>
    </row>
    <row r="275" spans="2:14" x14ac:dyDescent="0.45">
      <c r="B275" s="87"/>
      <c r="C275" s="87" t="s">
        <v>25</v>
      </c>
      <c r="D275" s="360">
        <f t="shared" ref="D275" si="46">D246*$E$252*$E$253</f>
        <v>0</v>
      </c>
      <c r="E275" s="169"/>
      <c r="F275" s="360">
        <f t="shared" ref="F275" si="47">F246*$E$252*$E$253</f>
        <v>0</v>
      </c>
      <c r="G275" s="87"/>
      <c r="H275" s="87"/>
      <c r="I275" s="90"/>
      <c r="J275" s="90"/>
      <c r="K275" s="90"/>
      <c r="L275" s="205"/>
      <c r="M275" s="210"/>
      <c r="N275" s="210"/>
    </row>
    <row r="276" spans="2:14" x14ac:dyDescent="0.45">
      <c r="B276" s="87"/>
      <c r="C276" s="87" t="s">
        <v>26</v>
      </c>
      <c r="D276" s="360">
        <f t="shared" ref="D276" si="48">D247*$E$252*$E$253</f>
        <v>0</v>
      </c>
      <c r="E276" s="169"/>
      <c r="F276" s="360">
        <f t="shared" ref="F276" si="49">F247*$E$252*$E$253</f>
        <v>0</v>
      </c>
      <c r="G276" s="87"/>
      <c r="H276" s="87"/>
      <c r="I276" s="90"/>
      <c r="J276" s="90"/>
      <c r="K276" s="90"/>
      <c r="L276" s="205"/>
      <c r="M276" s="210"/>
      <c r="N276" s="210"/>
    </row>
    <row r="277" spans="2:14" x14ac:dyDescent="0.45">
      <c r="B277" s="87"/>
      <c r="C277" s="87" t="s">
        <v>27</v>
      </c>
      <c r="D277" s="360">
        <f t="shared" ref="D277" si="50">D248*$E$252*$E$253</f>
        <v>0</v>
      </c>
      <c r="E277" s="169"/>
      <c r="F277" s="360">
        <f t="shared" ref="F277" si="51">F248*$E$252*$E$253</f>
        <v>0</v>
      </c>
      <c r="G277" s="87"/>
      <c r="H277" s="87"/>
      <c r="I277" s="90"/>
      <c r="J277" s="90"/>
      <c r="K277" s="90"/>
      <c r="L277" s="205"/>
      <c r="M277" s="210"/>
      <c r="N277" s="210"/>
    </row>
    <row r="278" spans="2:14" x14ac:dyDescent="0.45">
      <c r="B278" s="90"/>
      <c r="C278" s="87"/>
      <c r="D278" s="216"/>
      <c r="E278" s="218"/>
      <c r="F278" s="93"/>
      <c r="G278" s="87"/>
      <c r="H278" s="87"/>
      <c r="I278" s="90"/>
      <c r="J278" s="90"/>
      <c r="K278" s="90"/>
      <c r="L278" s="205"/>
      <c r="M278" s="210"/>
      <c r="N278" s="210"/>
    </row>
    <row r="279" spans="2:14" x14ac:dyDescent="0.45">
      <c r="B279" s="101" t="s">
        <v>780</v>
      </c>
      <c r="C279" s="113">
        <f>SUM(D256:D259,F256:F259,D262:D265,F262:F265,D268:D271,F268:F271,D274:D277,F274:F277)</f>
        <v>1.3150843553571428E-3</v>
      </c>
      <c r="D279" s="90"/>
      <c r="E279" s="90"/>
      <c r="F279" s="90"/>
      <c r="G279" s="90"/>
      <c r="H279" s="90"/>
      <c r="I279" s="90"/>
      <c r="J279" s="90"/>
      <c r="K279" s="110" t="s">
        <v>126</v>
      </c>
      <c r="L279" s="205"/>
      <c r="M279" s="210"/>
      <c r="N279" s="210"/>
    </row>
    <row r="280" spans="2:14" x14ac:dyDescent="0.45">
      <c r="B280" s="101" t="s">
        <v>780</v>
      </c>
      <c r="C280" s="102">
        <f>C279*'GWP Factors'!C6</f>
        <v>0.39189513789642855</v>
      </c>
      <c r="D280" s="90"/>
      <c r="E280" s="90"/>
      <c r="F280" s="90"/>
      <c r="G280" s="90"/>
      <c r="H280" s="90"/>
      <c r="I280" s="90"/>
      <c r="J280" s="90"/>
      <c r="K280" s="110" t="s">
        <v>89</v>
      </c>
      <c r="L280" s="205"/>
      <c r="M280" s="210"/>
      <c r="N280" s="210"/>
    </row>
    <row r="281" spans="2:14" x14ac:dyDescent="0.45">
      <c r="B281" s="108" t="s">
        <v>780</v>
      </c>
      <c r="C281" s="214">
        <f>C280*10^3</f>
        <v>391.89513789642854</v>
      </c>
      <c r="D281" s="94"/>
      <c r="E281" s="94"/>
      <c r="F281" s="94"/>
      <c r="G281" s="94"/>
      <c r="H281" s="94"/>
      <c r="I281" s="94"/>
      <c r="J281" s="94"/>
      <c r="K281" s="213" t="s">
        <v>90</v>
      </c>
      <c r="L281" s="208"/>
      <c r="M281" s="211"/>
      <c r="N281" s="211"/>
    </row>
    <row r="285" spans="2:14" x14ac:dyDescent="0.45">
      <c r="L285"/>
    </row>
  </sheetData>
  <sheetProtection sheet="1" objects="1" scenarios="1"/>
  <phoneticPr fontId="12" type="noConversion"/>
  <pageMargins left="0.75" right="0.75" top="1" bottom="1" header="0.5" footer="0.5"/>
  <pageSetup paperSize="9" orientation="portrait" horizontalDpi="300" verticalDpi="30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B201"/>
  <sheetViews>
    <sheetView zoomScale="115" zoomScaleNormal="115" zoomScalePageLayoutView="115" workbookViewId="0"/>
  </sheetViews>
  <sheetFormatPr defaultColWidth="10.86328125" defaultRowHeight="13.15" x14ac:dyDescent="0.4"/>
  <cols>
    <col min="1" max="1" width="3.73046875" style="480" customWidth="1"/>
    <col min="2" max="4" width="10.86328125" style="480"/>
    <col min="5" max="5" width="14.265625" style="480" bestFit="1" customWidth="1"/>
    <col min="6" max="6" width="10.86328125" style="480"/>
    <col min="7" max="7" width="13.3984375" style="480" customWidth="1"/>
    <col min="8" max="10" width="10.86328125" style="480"/>
    <col min="11" max="11" width="13" style="480" customWidth="1"/>
    <col min="12" max="12" width="19.265625" style="480" customWidth="1"/>
    <col min="13" max="14" width="18.73046875" style="480" customWidth="1"/>
    <col min="15" max="17" width="10.86328125" style="480"/>
    <col min="18" max="18" width="20" style="480" customWidth="1"/>
    <col min="19" max="19" width="13.73046875" style="480" customWidth="1"/>
    <col min="20" max="20" width="17.73046875" style="480" customWidth="1"/>
    <col min="21" max="16384" width="10.86328125" style="480"/>
  </cols>
  <sheetData>
    <row r="1" spans="1:26" ht="27" customHeight="1" x14ac:dyDescent="0.45">
      <c r="A1" s="478" t="s">
        <v>244</v>
      </c>
    </row>
    <row r="2" spans="1:26" ht="15" x14ac:dyDescent="0.4">
      <c r="B2" s="70" t="s">
        <v>350</v>
      </c>
      <c r="C2" s="273"/>
      <c r="D2" s="273"/>
      <c r="E2" s="273"/>
      <c r="F2" s="273"/>
      <c r="G2" s="273"/>
      <c r="H2" s="273"/>
      <c r="I2" s="273"/>
      <c r="J2" s="273"/>
      <c r="K2" s="273"/>
      <c r="L2" s="273"/>
      <c r="M2" s="275"/>
      <c r="N2" s="275"/>
      <c r="P2" s="481" t="s">
        <v>269</v>
      </c>
      <c r="Q2" s="481"/>
    </row>
    <row r="3" spans="1:26" x14ac:dyDescent="0.4">
      <c r="B3" s="261" t="s">
        <v>261</v>
      </c>
      <c r="C3" s="256"/>
      <c r="D3" s="256"/>
      <c r="E3" s="261" t="s">
        <v>282</v>
      </c>
      <c r="F3" s="256"/>
      <c r="G3" s="261" t="s">
        <v>342</v>
      </c>
      <c r="H3" s="228"/>
      <c r="I3" s="261" t="s">
        <v>281</v>
      </c>
      <c r="J3" s="228"/>
      <c r="K3" s="228"/>
      <c r="L3" s="228"/>
      <c r="M3" s="276"/>
      <c r="N3" s="276"/>
      <c r="P3" s="482" t="s">
        <v>271</v>
      </c>
      <c r="Q3" s="483" t="s">
        <v>50</v>
      </c>
      <c r="R3" s="483" t="s">
        <v>344</v>
      </c>
      <c r="S3" s="483" t="s">
        <v>265</v>
      </c>
      <c r="T3" s="503" t="s">
        <v>246</v>
      </c>
      <c r="U3" s="504" t="s">
        <v>247</v>
      </c>
      <c r="V3" s="504" t="s">
        <v>248</v>
      </c>
      <c r="W3" s="505" t="s">
        <v>249</v>
      </c>
    </row>
    <row r="4" spans="1:26" x14ac:dyDescent="0.4">
      <c r="B4" s="256">
        <v>1</v>
      </c>
      <c r="C4" s="256" t="s">
        <v>30</v>
      </c>
      <c r="D4" s="256">
        <v>1</v>
      </c>
      <c r="E4" s="256" t="s">
        <v>345</v>
      </c>
      <c r="F4" s="256">
        <v>1</v>
      </c>
      <c r="G4" s="256" t="s">
        <v>343</v>
      </c>
      <c r="H4" s="228">
        <v>1</v>
      </c>
      <c r="I4" s="256" t="s">
        <v>30</v>
      </c>
      <c r="J4" s="228"/>
      <c r="K4" s="228"/>
      <c r="L4" s="228"/>
      <c r="M4" s="276"/>
      <c r="N4" s="276"/>
      <c r="P4" s="485">
        <v>7</v>
      </c>
      <c r="Q4" s="487" t="s">
        <v>470</v>
      </c>
      <c r="R4" s="486">
        <f t="shared" ref="R4:R13" si="0">B24</f>
        <v>1</v>
      </c>
      <c r="S4" s="487" t="str">
        <f t="shared" ref="S4:S14" si="1">P4&amp;R4</f>
        <v>71</v>
      </c>
      <c r="T4" s="506">
        <v>0.40884999999999999</v>
      </c>
      <c r="U4" s="506">
        <v>5.2188999999999997</v>
      </c>
      <c r="V4" s="506">
        <v>0.8</v>
      </c>
      <c r="W4" s="507">
        <v>1.33</v>
      </c>
      <c r="Y4" s="480">
        <v>1</v>
      </c>
      <c r="Z4" s="480" t="s">
        <v>469</v>
      </c>
    </row>
    <row r="5" spans="1:26" x14ac:dyDescent="0.4">
      <c r="B5" s="256">
        <v>2</v>
      </c>
      <c r="C5" s="256" t="s">
        <v>31</v>
      </c>
      <c r="D5" s="256">
        <v>2</v>
      </c>
      <c r="E5" s="256" t="s">
        <v>346</v>
      </c>
      <c r="F5" s="256">
        <v>2</v>
      </c>
      <c r="G5" s="256" t="s">
        <v>288</v>
      </c>
      <c r="H5" s="228">
        <v>2</v>
      </c>
      <c r="I5" s="256" t="s">
        <v>31</v>
      </c>
      <c r="J5" s="228"/>
      <c r="K5" s="228"/>
      <c r="L5" s="228"/>
      <c r="M5" s="276"/>
      <c r="N5" s="276"/>
      <c r="P5" s="485">
        <v>7</v>
      </c>
      <c r="Q5" s="487" t="s">
        <v>470</v>
      </c>
      <c r="R5" s="486">
        <f t="shared" si="0"/>
        <v>2</v>
      </c>
      <c r="S5" s="487" t="str">
        <f t="shared" si="1"/>
        <v>72</v>
      </c>
      <c r="T5" s="506">
        <v>0.37206</v>
      </c>
      <c r="U5" s="506">
        <v>3.8544700000000001</v>
      </c>
      <c r="V5" s="506">
        <v>0.8</v>
      </c>
      <c r="W5" s="507">
        <v>1.2</v>
      </c>
      <c r="Y5" s="480">
        <v>2</v>
      </c>
      <c r="Z5" s="480" t="s">
        <v>474</v>
      </c>
    </row>
    <row r="6" spans="1:26" x14ac:dyDescent="0.4">
      <c r="B6" s="256"/>
      <c r="C6" s="256"/>
      <c r="D6" s="256"/>
      <c r="E6" s="256"/>
      <c r="F6" s="256"/>
      <c r="G6" s="256"/>
      <c r="H6" s="256"/>
      <c r="I6" s="256"/>
      <c r="J6" s="228"/>
      <c r="K6" s="228"/>
      <c r="L6" s="228"/>
      <c r="M6" s="276"/>
      <c r="N6" s="276"/>
      <c r="P6" s="485">
        <v>7</v>
      </c>
      <c r="Q6" s="487" t="s">
        <v>470</v>
      </c>
      <c r="R6" s="486">
        <f t="shared" si="0"/>
        <v>3</v>
      </c>
      <c r="S6" s="487" t="str">
        <f t="shared" si="1"/>
        <v>73</v>
      </c>
      <c r="T6" s="506">
        <v>0.37352000000000002</v>
      </c>
      <c r="U6" s="506">
        <v>3.4680399999999998</v>
      </c>
      <c r="V6" s="506">
        <v>0.8</v>
      </c>
      <c r="W6" s="507">
        <v>1.33</v>
      </c>
      <c r="Y6" s="480">
        <v>3</v>
      </c>
      <c r="Z6" s="480" t="s">
        <v>390</v>
      </c>
    </row>
    <row r="7" spans="1:26" x14ac:dyDescent="0.4">
      <c r="B7" s="272" t="s">
        <v>347</v>
      </c>
      <c r="C7" s="273">
        <v>1</v>
      </c>
      <c r="D7" s="273">
        <v>2</v>
      </c>
      <c r="E7" s="274"/>
      <c r="F7" s="228"/>
      <c r="G7" s="228"/>
      <c r="H7" s="228"/>
      <c r="I7" s="228"/>
      <c r="J7" s="228"/>
      <c r="K7" s="228"/>
      <c r="L7" s="228"/>
      <c r="M7" s="276"/>
      <c r="N7" s="276"/>
      <c r="P7" s="485">
        <v>7</v>
      </c>
      <c r="Q7" s="487" t="s">
        <v>470</v>
      </c>
      <c r="R7" s="486">
        <f t="shared" si="0"/>
        <v>4</v>
      </c>
      <c r="S7" s="487" t="str">
        <f t="shared" si="1"/>
        <v>74</v>
      </c>
      <c r="T7" s="506">
        <v>0.37352000000000002</v>
      </c>
      <c r="U7" s="506">
        <v>4.2354000000000003</v>
      </c>
      <c r="V7" s="506">
        <v>0.8</v>
      </c>
      <c r="W7" s="507">
        <v>1.1499999999999999</v>
      </c>
      <c r="Y7" s="480">
        <v>4</v>
      </c>
      <c r="Z7" s="480" t="s">
        <v>177</v>
      </c>
    </row>
    <row r="8" spans="1:26" x14ac:dyDescent="0.4">
      <c r="B8" s="263" t="s">
        <v>348</v>
      </c>
      <c r="C8" s="256">
        <v>1</v>
      </c>
      <c r="D8" s="256">
        <v>6</v>
      </c>
      <c r="E8" s="259"/>
      <c r="F8" s="228"/>
      <c r="G8" s="228"/>
      <c r="H8" s="228"/>
      <c r="I8" s="228"/>
      <c r="J8" s="228"/>
      <c r="K8" s="228"/>
      <c r="L8" s="228"/>
      <c r="M8" s="276"/>
      <c r="N8" s="276"/>
      <c r="P8" s="485">
        <v>7</v>
      </c>
      <c r="Q8" s="487" t="s">
        <v>470</v>
      </c>
      <c r="R8" s="486">
        <f t="shared" si="0"/>
        <v>5</v>
      </c>
      <c r="S8" s="487" t="str">
        <f t="shared" si="1"/>
        <v>75</v>
      </c>
      <c r="T8" s="506">
        <v>0.34845999999999999</v>
      </c>
      <c r="U8" s="506">
        <v>4.9491899999999998</v>
      </c>
      <c r="V8" s="506">
        <v>0.8</v>
      </c>
      <c r="W8" s="507">
        <v>1.25</v>
      </c>
      <c r="Y8" s="480">
        <v>5</v>
      </c>
      <c r="Z8" s="480" t="s">
        <v>53</v>
      </c>
    </row>
    <row r="9" spans="1:26" x14ac:dyDescent="0.4">
      <c r="B9" s="263"/>
      <c r="C9" s="256">
        <v>2</v>
      </c>
      <c r="D9" s="266">
        <v>7</v>
      </c>
      <c r="E9" s="265"/>
      <c r="F9" s="228"/>
      <c r="G9" s="228"/>
      <c r="H9" s="228"/>
      <c r="I9" s="228"/>
      <c r="J9" s="228"/>
      <c r="K9" s="228"/>
      <c r="L9" s="228"/>
      <c r="M9" s="276"/>
      <c r="N9" s="276"/>
      <c r="P9" s="485">
        <v>7</v>
      </c>
      <c r="Q9" s="487" t="s">
        <v>470</v>
      </c>
      <c r="R9" s="486">
        <f t="shared" si="0"/>
        <v>6</v>
      </c>
      <c r="S9" s="487" t="str">
        <f t="shared" si="1"/>
        <v>76</v>
      </c>
      <c r="T9" s="506">
        <v>0.26884000000000002</v>
      </c>
      <c r="U9" s="506">
        <v>2.6761599999999999</v>
      </c>
      <c r="V9" s="506">
        <v>0.8</v>
      </c>
      <c r="W9" s="507">
        <v>1.4</v>
      </c>
      <c r="Y9" s="480">
        <v>6</v>
      </c>
      <c r="Z9" s="480" t="s">
        <v>391</v>
      </c>
    </row>
    <row r="10" spans="1:26" x14ac:dyDescent="0.4">
      <c r="B10" s="264"/>
      <c r="C10" s="256">
        <v>3</v>
      </c>
      <c r="D10" s="256">
        <v>8</v>
      </c>
      <c r="E10" s="259"/>
      <c r="F10" s="228"/>
      <c r="G10" s="228"/>
      <c r="H10" s="228"/>
      <c r="I10" s="228"/>
      <c r="J10" s="228"/>
      <c r="K10" s="228"/>
      <c r="L10" s="228"/>
      <c r="M10" s="276"/>
      <c r="N10" s="276"/>
      <c r="P10" s="485">
        <v>7</v>
      </c>
      <c r="Q10" s="487" t="s">
        <v>470</v>
      </c>
      <c r="R10" s="486">
        <f t="shared" si="0"/>
        <v>7</v>
      </c>
      <c r="S10" s="487" t="str">
        <f t="shared" si="1"/>
        <v>77</v>
      </c>
      <c r="T10" s="506">
        <v>0.25533</v>
      </c>
      <c r="U10" s="506">
        <v>2.5517799999999999</v>
      </c>
      <c r="V10" s="506">
        <v>0.8</v>
      </c>
      <c r="W10" s="507">
        <v>1.7</v>
      </c>
      <c r="Y10" s="480">
        <v>7</v>
      </c>
      <c r="Z10" s="480" t="s">
        <v>470</v>
      </c>
    </row>
    <row r="11" spans="1:26" x14ac:dyDescent="0.4">
      <c r="B11" s="264"/>
      <c r="C11" s="256">
        <v>4</v>
      </c>
      <c r="D11" s="256">
        <v>9</v>
      </c>
      <c r="E11" s="259"/>
      <c r="F11" s="228"/>
      <c r="G11" s="228"/>
      <c r="H11" s="228"/>
      <c r="I11" s="228"/>
      <c r="J11" s="228"/>
      <c r="K11" s="228"/>
      <c r="L11" s="228"/>
      <c r="M11" s="276"/>
      <c r="N11" s="276"/>
      <c r="P11" s="485">
        <v>7</v>
      </c>
      <c r="Q11" s="487" t="s">
        <v>470</v>
      </c>
      <c r="R11" s="486">
        <f t="shared" si="0"/>
        <v>8</v>
      </c>
      <c r="S11" s="487" t="str">
        <f t="shared" si="1"/>
        <v>78</v>
      </c>
      <c r="T11" s="506">
        <v>0.25396000000000002</v>
      </c>
      <c r="U11" s="506">
        <v>2.3427699999999998</v>
      </c>
      <c r="V11" s="506">
        <v>0.8</v>
      </c>
      <c r="W11" s="507">
        <v>1.4</v>
      </c>
      <c r="Y11" s="480">
        <v>8</v>
      </c>
      <c r="Z11" s="480" t="s">
        <v>54</v>
      </c>
    </row>
    <row r="12" spans="1:26" x14ac:dyDescent="0.4">
      <c r="B12" s="267"/>
      <c r="C12" s="239">
        <v>5</v>
      </c>
      <c r="D12" s="239">
        <v>10</v>
      </c>
      <c r="E12" s="260"/>
      <c r="F12" s="228"/>
      <c r="G12" s="228"/>
      <c r="H12" s="228"/>
      <c r="I12" s="228"/>
      <c r="J12" s="228"/>
      <c r="K12" s="228"/>
      <c r="L12" s="228"/>
      <c r="M12" s="276"/>
      <c r="N12" s="276"/>
      <c r="P12" s="485">
        <v>7</v>
      </c>
      <c r="Q12" s="487" t="s">
        <v>470</v>
      </c>
      <c r="R12" s="486">
        <f t="shared" si="0"/>
        <v>9</v>
      </c>
      <c r="S12" s="487" t="str">
        <f t="shared" si="1"/>
        <v>79</v>
      </c>
      <c r="T12" s="506">
        <v>0.24826000000000001</v>
      </c>
      <c r="U12" s="506">
        <v>2.4537499999999999</v>
      </c>
      <c r="V12" s="506">
        <v>0.8</v>
      </c>
      <c r="W12" s="507">
        <v>1</v>
      </c>
      <c r="Y12" s="480">
        <v>9</v>
      </c>
      <c r="Z12" s="480" t="s">
        <v>751</v>
      </c>
    </row>
    <row r="13" spans="1:26" x14ac:dyDescent="0.4">
      <c r="B13" s="256"/>
      <c r="C13" s="256"/>
      <c r="D13" s="256"/>
      <c r="E13" s="256"/>
      <c r="F13" s="256"/>
      <c r="G13" s="228"/>
      <c r="H13" s="228"/>
      <c r="I13" s="228"/>
      <c r="J13" s="228"/>
      <c r="K13" s="228"/>
      <c r="L13" s="228"/>
      <c r="M13" s="276"/>
      <c r="N13" s="276"/>
      <c r="P13" s="485">
        <v>7</v>
      </c>
      <c r="Q13" s="487" t="s">
        <v>470</v>
      </c>
      <c r="R13" s="486">
        <f t="shared" si="0"/>
        <v>10</v>
      </c>
      <c r="S13" s="487" t="str">
        <f t="shared" si="1"/>
        <v>710</v>
      </c>
      <c r="T13" s="506">
        <v>0.25507999999999997</v>
      </c>
      <c r="U13" s="506">
        <v>2.43343</v>
      </c>
      <c r="V13" s="506">
        <v>0.8</v>
      </c>
      <c r="W13" s="507">
        <v>1.8</v>
      </c>
      <c r="Y13" s="480">
        <v>10</v>
      </c>
      <c r="Z13" s="480" t="s">
        <v>752</v>
      </c>
    </row>
    <row r="14" spans="1:26" x14ac:dyDescent="0.4">
      <c r="B14" s="256"/>
      <c r="C14" s="256"/>
      <c r="D14" s="256"/>
      <c r="E14" s="256"/>
      <c r="F14" s="256"/>
      <c r="G14" s="228"/>
      <c r="H14" s="228"/>
      <c r="I14" s="228"/>
      <c r="J14" s="228"/>
      <c r="K14" s="228"/>
      <c r="L14" s="228"/>
      <c r="M14" s="276"/>
      <c r="N14" s="276"/>
      <c r="P14" s="485">
        <v>8</v>
      </c>
      <c r="Q14" s="487" t="s">
        <v>54</v>
      </c>
      <c r="R14" s="486">
        <f t="shared" ref="R14:R23" si="2">B24</f>
        <v>1</v>
      </c>
      <c r="S14" s="487" t="str">
        <f t="shared" si="1"/>
        <v>81</v>
      </c>
      <c r="T14" s="506">
        <v>0.40884999999999999</v>
      </c>
      <c r="U14" s="506">
        <v>4.0258099999999999</v>
      </c>
      <c r="V14" s="506">
        <v>0.8</v>
      </c>
      <c r="W14" s="507">
        <v>1.33</v>
      </c>
    </row>
    <row r="15" spans="1:26" x14ac:dyDescent="0.4">
      <c r="B15" s="262" t="s">
        <v>348</v>
      </c>
      <c r="C15" s="257" t="s">
        <v>260</v>
      </c>
      <c r="D15" s="257"/>
      <c r="E15" s="258"/>
      <c r="F15" s="256"/>
      <c r="G15" s="228"/>
      <c r="H15" s="228"/>
      <c r="I15" s="228"/>
      <c r="J15" s="228"/>
      <c r="K15" s="228"/>
      <c r="L15" s="228"/>
      <c r="M15" s="276"/>
      <c r="N15" s="276"/>
      <c r="P15" s="485">
        <v>8</v>
      </c>
      <c r="Q15" s="487" t="s">
        <v>54</v>
      </c>
      <c r="R15" s="486">
        <f t="shared" si="2"/>
        <v>2</v>
      </c>
      <c r="S15" s="487" t="str">
        <f t="shared" ref="S15:S43" si="3">P15&amp;R15</f>
        <v>82</v>
      </c>
      <c r="T15" s="506">
        <v>0.37206</v>
      </c>
      <c r="U15" s="506">
        <v>3.9603199999999998</v>
      </c>
      <c r="V15" s="506">
        <v>0.8</v>
      </c>
      <c r="W15" s="507">
        <v>1.2</v>
      </c>
    </row>
    <row r="16" spans="1:26" x14ac:dyDescent="0.4">
      <c r="B16" s="264">
        <f>INDEX(C8:D8,MATCH('Data input'!D78,C7:D7,0))</f>
        <v>1</v>
      </c>
      <c r="C16" s="256" t="str">
        <f>INDEX(C24:C33,MATCH(B16,B24:B33,0))</f>
        <v>Shrubland hummock</v>
      </c>
      <c r="D16" s="256"/>
      <c r="E16" s="259"/>
      <c r="F16" s="256"/>
      <c r="G16" s="228"/>
      <c r="H16" s="228"/>
      <c r="I16" s="228"/>
      <c r="J16" s="228"/>
      <c r="K16" s="228"/>
      <c r="L16" s="228"/>
      <c r="M16" s="276"/>
      <c r="N16" s="276"/>
      <c r="P16" s="485">
        <v>8</v>
      </c>
      <c r="Q16" s="487" t="s">
        <v>54</v>
      </c>
      <c r="R16" s="486">
        <f t="shared" si="2"/>
        <v>3</v>
      </c>
      <c r="S16" s="487" t="str">
        <f t="shared" si="3"/>
        <v>83</v>
      </c>
      <c r="T16" s="506">
        <v>0.37352000000000002</v>
      </c>
      <c r="U16" s="506">
        <v>2.7035999999999998</v>
      </c>
      <c r="V16" s="506">
        <v>0.8</v>
      </c>
      <c r="W16" s="507">
        <v>1.33</v>
      </c>
    </row>
    <row r="17" spans="2:28" x14ac:dyDescent="0.4">
      <c r="B17" s="264">
        <f>INDEX(C9:D9,MATCH('Data input'!D78,C7:D7,0))</f>
        <v>2</v>
      </c>
      <c r="C17" s="266" t="str">
        <f>INDEX(C24:C33,MATCH(B17,B24:B33,0))</f>
        <v>Woodland Hummock</v>
      </c>
      <c r="D17" s="256"/>
      <c r="E17" s="259"/>
      <c r="F17" s="256"/>
      <c r="G17" s="228"/>
      <c r="H17" s="228"/>
      <c r="I17" s="228"/>
      <c r="J17" s="228"/>
      <c r="K17" s="228"/>
      <c r="L17" s="228"/>
      <c r="M17" s="276"/>
      <c r="N17" s="276"/>
      <c r="P17" s="485">
        <v>8</v>
      </c>
      <c r="Q17" s="487" t="s">
        <v>54</v>
      </c>
      <c r="R17" s="486">
        <f t="shared" si="2"/>
        <v>4</v>
      </c>
      <c r="S17" s="487" t="str">
        <f t="shared" si="3"/>
        <v>84</v>
      </c>
      <c r="T17" s="506">
        <v>0.37352000000000002</v>
      </c>
      <c r="U17" s="506">
        <v>3.9907499999999998</v>
      </c>
      <c r="V17" s="506">
        <v>0.8</v>
      </c>
      <c r="W17" s="507">
        <v>1.1499999999999999</v>
      </c>
    </row>
    <row r="18" spans="2:28" x14ac:dyDescent="0.4">
      <c r="B18" s="264">
        <f>INDEX(C10:D10,MATCH('Data input'!D78,C7:D7,0))</f>
        <v>3</v>
      </c>
      <c r="C18" s="256" t="str">
        <f>INDEX(C24:C33,MATCH(B18,B24:B33,0))</f>
        <v>Melaleuca woodland</v>
      </c>
      <c r="D18" s="256"/>
      <c r="E18" s="259"/>
      <c r="F18" s="256"/>
      <c r="G18" s="228"/>
      <c r="H18" s="228"/>
      <c r="I18" s="228"/>
      <c r="J18" s="228"/>
      <c r="K18" s="228"/>
      <c r="L18" s="228"/>
      <c r="M18" s="276"/>
      <c r="N18" s="276"/>
      <c r="P18" s="485">
        <v>8</v>
      </c>
      <c r="Q18" s="487" t="s">
        <v>54</v>
      </c>
      <c r="R18" s="486">
        <f t="shared" si="2"/>
        <v>5</v>
      </c>
      <c r="S18" s="487" t="str">
        <f t="shared" si="3"/>
        <v>85</v>
      </c>
      <c r="T18" s="506">
        <v>0.34845999999999999</v>
      </c>
      <c r="U18" s="506">
        <v>4.2584200000000001</v>
      </c>
      <c r="V18" s="506">
        <v>0.8</v>
      </c>
      <c r="W18" s="507">
        <v>1.25</v>
      </c>
    </row>
    <row r="19" spans="2:28" x14ac:dyDescent="0.4">
      <c r="B19" s="264">
        <f>INDEX(C11:D11,MATCH('Data input'!D78,C7:D7,0))</f>
        <v>4</v>
      </c>
      <c r="C19" s="256" t="str">
        <f>INDEX(C24:C33,MATCH(B19,B24:B33,0))</f>
        <v>Woodland Mixed</v>
      </c>
      <c r="D19" s="256"/>
      <c r="E19" s="259"/>
      <c r="F19" s="256"/>
      <c r="G19" s="228"/>
      <c r="H19" s="228"/>
      <c r="I19" s="228"/>
      <c r="J19" s="228"/>
      <c r="K19" s="228"/>
      <c r="L19" s="228"/>
      <c r="M19" s="276"/>
      <c r="N19" s="276"/>
      <c r="P19" s="485">
        <v>8</v>
      </c>
      <c r="Q19" s="487" t="s">
        <v>54</v>
      </c>
      <c r="R19" s="486">
        <f t="shared" si="2"/>
        <v>6</v>
      </c>
      <c r="S19" s="487" t="str">
        <f t="shared" si="3"/>
        <v>86</v>
      </c>
      <c r="T19" s="506">
        <v>0.26884000000000002</v>
      </c>
      <c r="U19" s="506">
        <v>2.35541</v>
      </c>
      <c r="V19" s="506">
        <v>0.8</v>
      </c>
      <c r="W19" s="507">
        <v>1.4</v>
      </c>
    </row>
    <row r="20" spans="2:28" x14ac:dyDescent="0.4">
      <c r="B20" s="267">
        <f>INDEX(C12:D12,MATCH('Data input'!D78,C7:D7,0))</f>
        <v>5</v>
      </c>
      <c r="C20" s="239" t="str">
        <f>INDEX(C24:C33,MATCH(B20,B24:B33,0))</f>
        <v>Open forest mixed</v>
      </c>
      <c r="D20" s="239"/>
      <c r="E20" s="260"/>
      <c r="F20" s="256"/>
      <c r="G20" s="228"/>
      <c r="H20" s="228"/>
      <c r="I20" s="228"/>
      <c r="J20" s="228"/>
      <c r="K20" s="228"/>
      <c r="L20" s="228"/>
      <c r="M20" s="276"/>
      <c r="N20" s="276"/>
      <c r="P20" s="485">
        <v>8</v>
      </c>
      <c r="Q20" s="487" t="s">
        <v>54</v>
      </c>
      <c r="R20" s="486">
        <f t="shared" si="2"/>
        <v>7</v>
      </c>
      <c r="S20" s="487" t="str">
        <f t="shared" si="3"/>
        <v>87</v>
      </c>
      <c r="T20" s="506">
        <v>0.25533</v>
      </c>
      <c r="U20" s="506">
        <v>2.7070099999999999</v>
      </c>
      <c r="V20" s="506">
        <v>0.8</v>
      </c>
      <c r="W20" s="507">
        <v>1.7</v>
      </c>
    </row>
    <row r="21" spans="2:28" x14ac:dyDescent="0.4">
      <c r="B21" s="256"/>
      <c r="C21" s="256"/>
      <c r="D21" s="256"/>
      <c r="E21" s="256"/>
      <c r="F21" s="256"/>
      <c r="G21" s="256"/>
      <c r="H21" s="256"/>
      <c r="I21" s="256"/>
      <c r="J21" s="228"/>
      <c r="K21" s="228"/>
      <c r="L21" s="228"/>
      <c r="M21" s="276"/>
      <c r="N21" s="276"/>
      <c r="P21" s="485">
        <v>8</v>
      </c>
      <c r="Q21" s="487" t="s">
        <v>54</v>
      </c>
      <c r="R21" s="486">
        <f t="shared" si="2"/>
        <v>8</v>
      </c>
      <c r="S21" s="487" t="str">
        <f t="shared" si="3"/>
        <v>88</v>
      </c>
      <c r="T21" s="506">
        <v>0.25396000000000002</v>
      </c>
      <c r="U21" s="506">
        <v>2.47525</v>
      </c>
      <c r="V21" s="506">
        <v>0.8</v>
      </c>
      <c r="W21" s="507">
        <v>1.4</v>
      </c>
    </row>
    <row r="22" spans="2:28" x14ac:dyDescent="0.4">
      <c r="B22" s="256"/>
      <c r="C22" s="256"/>
      <c r="D22" s="256"/>
      <c r="E22" s="256"/>
      <c r="F22" s="256"/>
      <c r="G22" s="256"/>
      <c r="H22" s="256"/>
      <c r="I22" s="256"/>
      <c r="J22" s="228"/>
      <c r="K22" s="228"/>
      <c r="L22" s="228"/>
      <c r="M22" s="276"/>
      <c r="N22" s="276"/>
      <c r="P22" s="485">
        <v>8</v>
      </c>
      <c r="Q22" s="487" t="s">
        <v>54</v>
      </c>
      <c r="R22" s="486">
        <f t="shared" si="2"/>
        <v>9</v>
      </c>
      <c r="S22" s="487" t="str">
        <f t="shared" si="3"/>
        <v>89</v>
      </c>
      <c r="T22" s="506">
        <v>0.24826000000000001</v>
      </c>
      <c r="U22" s="506">
        <v>2.6176699999999999</v>
      </c>
      <c r="V22" s="506">
        <v>0.8</v>
      </c>
      <c r="W22" s="507">
        <v>1</v>
      </c>
    </row>
    <row r="23" spans="2:28" x14ac:dyDescent="0.4">
      <c r="B23" s="262"/>
      <c r="C23" s="268" t="s">
        <v>260</v>
      </c>
      <c r="D23" s="257"/>
      <c r="E23" s="258"/>
      <c r="F23" s="256"/>
      <c r="G23" s="228"/>
      <c r="H23" s="228"/>
      <c r="I23" s="228"/>
      <c r="J23" s="228"/>
      <c r="K23" s="228"/>
      <c r="L23" s="228"/>
      <c r="M23" s="276"/>
      <c r="N23" s="276"/>
      <c r="P23" s="485">
        <v>8</v>
      </c>
      <c r="Q23" s="487" t="s">
        <v>54</v>
      </c>
      <c r="R23" s="486">
        <f t="shared" si="2"/>
        <v>10</v>
      </c>
      <c r="S23" s="487" t="str">
        <f t="shared" si="3"/>
        <v>810</v>
      </c>
      <c r="T23" s="506">
        <v>0.25507999999999997</v>
      </c>
      <c r="U23" s="506">
        <v>2.9653999999999998</v>
      </c>
      <c r="V23" s="506">
        <v>0.8</v>
      </c>
      <c r="W23" s="507">
        <v>1.8</v>
      </c>
    </row>
    <row r="24" spans="2:28" x14ac:dyDescent="0.4">
      <c r="B24" s="264">
        <v>1</v>
      </c>
      <c r="C24" s="256" t="s">
        <v>250</v>
      </c>
      <c r="D24" s="256"/>
      <c r="E24" s="259"/>
      <c r="F24" s="256"/>
      <c r="G24" s="228"/>
      <c r="H24" s="228"/>
      <c r="I24" s="228"/>
      <c r="J24" s="228"/>
      <c r="K24" s="228"/>
      <c r="L24" s="228"/>
      <c r="M24" s="276"/>
      <c r="N24" s="276"/>
      <c r="P24" s="485">
        <v>9</v>
      </c>
      <c r="Q24" s="487" t="s">
        <v>751</v>
      </c>
      <c r="R24" s="486">
        <f t="shared" ref="R24:R33" si="4">B24</f>
        <v>1</v>
      </c>
      <c r="S24" s="487" t="str">
        <f t="shared" si="3"/>
        <v>91</v>
      </c>
      <c r="T24" s="506">
        <v>0.40884999999999999</v>
      </c>
      <c r="U24" s="506">
        <v>3.9053</v>
      </c>
      <c r="V24" s="506">
        <v>0.8</v>
      </c>
      <c r="W24" s="507">
        <v>1.33</v>
      </c>
      <c r="X24" s="485"/>
      <c r="Y24" s="486"/>
      <c r="Z24" s="486"/>
      <c r="AA24" s="486"/>
      <c r="AB24" s="486"/>
    </row>
    <row r="25" spans="2:28" x14ac:dyDescent="0.4">
      <c r="B25" s="264">
        <v>2</v>
      </c>
      <c r="C25" s="256" t="s">
        <v>251</v>
      </c>
      <c r="D25" s="266"/>
      <c r="E25" s="259"/>
      <c r="F25" s="256"/>
      <c r="G25" s="228"/>
      <c r="H25" s="228"/>
      <c r="I25" s="228"/>
      <c r="J25" s="228"/>
      <c r="K25" s="228"/>
      <c r="L25" s="228"/>
      <c r="M25" s="276"/>
      <c r="N25" s="276"/>
      <c r="P25" s="485">
        <v>9</v>
      </c>
      <c r="Q25" s="487" t="s">
        <v>751</v>
      </c>
      <c r="R25" s="486">
        <f t="shared" si="4"/>
        <v>2</v>
      </c>
      <c r="S25" s="487" t="str">
        <f t="shared" si="3"/>
        <v>92</v>
      </c>
      <c r="T25" s="506">
        <v>0.37206</v>
      </c>
      <c r="U25" s="506">
        <v>3.83521</v>
      </c>
      <c r="V25" s="506">
        <v>0.8</v>
      </c>
      <c r="W25" s="507">
        <v>1.2</v>
      </c>
      <c r="X25" s="485"/>
      <c r="Y25" s="486"/>
      <c r="Z25" s="486"/>
      <c r="AA25" s="486"/>
      <c r="AB25" s="486"/>
    </row>
    <row r="26" spans="2:28" x14ac:dyDescent="0.4">
      <c r="B26" s="264">
        <v>3</v>
      </c>
      <c r="C26" s="256" t="s">
        <v>252</v>
      </c>
      <c r="D26" s="266"/>
      <c r="E26" s="259"/>
      <c r="F26" s="256"/>
      <c r="G26" s="228"/>
      <c r="H26" s="228"/>
      <c r="I26" s="228"/>
      <c r="J26" s="228"/>
      <c r="K26" s="228"/>
      <c r="L26" s="228"/>
      <c r="M26" s="276"/>
      <c r="N26" s="276"/>
      <c r="P26" s="485">
        <v>9</v>
      </c>
      <c r="Q26" s="487" t="s">
        <v>751</v>
      </c>
      <c r="R26" s="486">
        <f t="shared" si="4"/>
        <v>3</v>
      </c>
      <c r="S26" s="487" t="str">
        <f t="shared" si="3"/>
        <v>93</v>
      </c>
      <c r="T26" s="506">
        <v>0.37352000000000002</v>
      </c>
      <c r="U26" s="506">
        <v>2.4142000000000001</v>
      </c>
      <c r="V26" s="506">
        <v>0.8</v>
      </c>
      <c r="W26" s="507">
        <v>1.33</v>
      </c>
      <c r="X26" s="485"/>
      <c r="Y26" s="486"/>
      <c r="Z26" s="486"/>
      <c r="AA26" s="486"/>
      <c r="AB26" s="486"/>
    </row>
    <row r="27" spans="2:28" x14ac:dyDescent="0.4">
      <c r="B27" s="264">
        <v>4</v>
      </c>
      <c r="C27" s="256" t="s">
        <v>253</v>
      </c>
      <c r="D27" s="266"/>
      <c r="E27" s="259"/>
      <c r="F27" s="256"/>
      <c r="G27" s="228"/>
      <c r="H27" s="228"/>
      <c r="I27" s="228"/>
      <c r="J27" s="228"/>
      <c r="K27" s="228"/>
      <c r="L27" s="228"/>
      <c r="M27" s="276"/>
      <c r="N27" s="276"/>
      <c r="P27" s="485">
        <v>9</v>
      </c>
      <c r="Q27" s="487" t="s">
        <v>751</v>
      </c>
      <c r="R27" s="486">
        <f t="shared" si="4"/>
        <v>4</v>
      </c>
      <c r="S27" s="487" t="str">
        <f t="shared" si="3"/>
        <v>94</v>
      </c>
      <c r="T27" s="506">
        <v>0.37352000000000002</v>
      </c>
      <c r="U27" s="506">
        <v>3.6844000000000001</v>
      </c>
      <c r="V27" s="506">
        <v>0.8</v>
      </c>
      <c r="W27" s="507">
        <v>1.1499999999999999</v>
      </c>
      <c r="X27" s="485"/>
      <c r="Y27" s="486"/>
      <c r="Z27" s="486"/>
      <c r="AA27" s="486"/>
      <c r="AB27" s="486"/>
    </row>
    <row r="28" spans="2:28" x14ac:dyDescent="0.4">
      <c r="B28" s="264">
        <v>5</v>
      </c>
      <c r="C28" s="256" t="s">
        <v>254</v>
      </c>
      <c r="D28" s="266"/>
      <c r="E28" s="259"/>
      <c r="F28" s="256"/>
      <c r="G28" s="256"/>
      <c r="H28" s="256"/>
      <c r="I28" s="256"/>
      <c r="J28" s="228"/>
      <c r="K28" s="228"/>
      <c r="L28" s="228"/>
      <c r="M28" s="276"/>
      <c r="N28" s="276"/>
      <c r="P28" s="485">
        <v>9</v>
      </c>
      <c r="Q28" s="487" t="s">
        <v>751</v>
      </c>
      <c r="R28" s="486">
        <f t="shared" si="4"/>
        <v>5</v>
      </c>
      <c r="S28" s="487" t="str">
        <f t="shared" si="3"/>
        <v>95</v>
      </c>
      <c r="T28" s="506">
        <v>0.34845999999999999</v>
      </c>
      <c r="U28" s="506">
        <v>3.9977200000000002</v>
      </c>
      <c r="V28" s="506">
        <v>0.8</v>
      </c>
      <c r="W28" s="507">
        <v>1.25</v>
      </c>
      <c r="X28" s="485"/>
      <c r="Y28" s="486"/>
      <c r="Z28" s="486"/>
      <c r="AA28" s="486"/>
      <c r="AB28" s="486"/>
    </row>
    <row r="29" spans="2:28" x14ac:dyDescent="0.4">
      <c r="B29" s="264">
        <v>6</v>
      </c>
      <c r="C29" s="256" t="s">
        <v>255</v>
      </c>
      <c r="D29" s="256"/>
      <c r="E29" s="265"/>
      <c r="F29" s="256"/>
      <c r="G29" s="256"/>
      <c r="H29" s="256"/>
      <c r="I29" s="256"/>
      <c r="J29" s="228"/>
      <c r="K29" s="228"/>
      <c r="L29" s="228"/>
      <c r="M29" s="276"/>
      <c r="N29" s="276"/>
      <c r="P29" s="485">
        <v>9</v>
      </c>
      <c r="Q29" s="487" t="s">
        <v>751</v>
      </c>
      <c r="R29" s="486">
        <f t="shared" si="4"/>
        <v>6</v>
      </c>
      <c r="S29" s="487" t="str">
        <f t="shared" si="3"/>
        <v>96</v>
      </c>
      <c r="T29" s="506">
        <v>0.26884000000000002</v>
      </c>
      <c r="U29" s="506">
        <v>2.4656799999999999</v>
      </c>
      <c r="V29" s="506">
        <v>0.8</v>
      </c>
      <c r="W29" s="507">
        <v>1.4</v>
      </c>
      <c r="X29" s="485"/>
      <c r="Y29" s="486"/>
      <c r="Z29" s="486"/>
      <c r="AA29" s="486"/>
      <c r="AB29" s="486"/>
    </row>
    <row r="30" spans="2:28" x14ac:dyDescent="0.4">
      <c r="B30" s="269">
        <v>7</v>
      </c>
      <c r="C30" s="256" t="s">
        <v>256</v>
      </c>
      <c r="D30" s="266"/>
      <c r="E30" s="265"/>
      <c r="F30" s="256"/>
      <c r="G30" s="256"/>
      <c r="H30" s="228"/>
      <c r="I30" s="228"/>
      <c r="J30" s="228"/>
      <c r="K30" s="228"/>
      <c r="L30" s="228"/>
      <c r="M30" s="276"/>
      <c r="N30" s="276"/>
      <c r="P30" s="485">
        <v>9</v>
      </c>
      <c r="Q30" s="487" t="s">
        <v>751</v>
      </c>
      <c r="R30" s="486">
        <f t="shared" si="4"/>
        <v>7</v>
      </c>
      <c r="S30" s="487" t="str">
        <f t="shared" si="3"/>
        <v>97</v>
      </c>
      <c r="T30" s="506">
        <v>0.25533</v>
      </c>
      <c r="U30" s="506">
        <v>2.72722</v>
      </c>
      <c r="V30" s="506">
        <v>0.8</v>
      </c>
      <c r="W30" s="507">
        <v>1.7</v>
      </c>
      <c r="X30" s="485"/>
      <c r="Y30" s="486"/>
      <c r="Z30" s="486"/>
      <c r="AA30" s="486"/>
      <c r="AB30" s="486"/>
    </row>
    <row r="31" spans="2:28" x14ac:dyDescent="0.4">
      <c r="B31" s="269">
        <v>8</v>
      </c>
      <c r="C31" s="256" t="s">
        <v>257</v>
      </c>
      <c r="D31" s="266"/>
      <c r="E31" s="265"/>
      <c r="F31" s="256"/>
      <c r="G31" s="256"/>
      <c r="H31" s="228"/>
      <c r="I31" s="228"/>
      <c r="J31" s="228"/>
      <c r="K31" s="228"/>
      <c r="L31" s="228"/>
      <c r="M31" s="276"/>
      <c r="N31" s="276"/>
      <c r="P31" s="485">
        <v>9</v>
      </c>
      <c r="Q31" s="487" t="s">
        <v>751</v>
      </c>
      <c r="R31" s="486">
        <f t="shared" si="4"/>
        <v>8</v>
      </c>
      <c r="S31" s="487" t="str">
        <f t="shared" si="3"/>
        <v>98</v>
      </c>
      <c r="T31" s="506">
        <v>0.25396000000000002</v>
      </c>
      <c r="U31" s="506">
        <v>2.5792000000000002</v>
      </c>
      <c r="V31" s="506">
        <v>0.8</v>
      </c>
      <c r="W31" s="507">
        <v>1.4</v>
      </c>
      <c r="X31" s="485"/>
      <c r="Y31" s="486"/>
      <c r="Z31" s="486"/>
      <c r="AA31" s="486"/>
      <c r="AB31" s="486"/>
    </row>
    <row r="32" spans="2:28" x14ac:dyDescent="0.4">
      <c r="B32" s="269">
        <v>9</v>
      </c>
      <c r="C32" s="256" t="s">
        <v>258</v>
      </c>
      <c r="D32" s="266"/>
      <c r="E32" s="259"/>
      <c r="F32" s="256"/>
      <c r="G32" s="256"/>
      <c r="H32" s="228"/>
      <c r="I32" s="228"/>
      <c r="J32" s="228"/>
      <c r="K32" s="228"/>
      <c r="L32" s="228"/>
      <c r="M32" s="276"/>
      <c r="N32" s="276"/>
      <c r="P32" s="485">
        <v>9</v>
      </c>
      <c r="Q32" s="487" t="s">
        <v>751</v>
      </c>
      <c r="R32" s="486">
        <f t="shared" si="4"/>
        <v>9</v>
      </c>
      <c r="S32" s="487" t="str">
        <f t="shared" si="3"/>
        <v>99</v>
      </c>
      <c r="T32" s="506">
        <v>0.24826000000000001</v>
      </c>
      <c r="U32" s="506">
        <v>2.8956200000000001</v>
      </c>
      <c r="V32" s="506">
        <v>0.8</v>
      </c>
      <c r="W32" s="507">
        <v>1</v>
      </c>
      <c r="X32" s="485"/>
      <c r="Y32" s="486"/>
      <c r="Z32" s="486"/>
      <c r="AA32" s="486"/>
      <c r="AB32" s="486"/>
    </row>
    <row r="33" spans="2:28" x14ac:dyDescent="0.4">
      <c r="B33" s="270">
        <v>10</v>
      </c>
      <c r="C33" s="239" t="s">
        <v>259</v>
      </c>
      <c r="D33" s="271"/>
      <c r="E33" s="260"/>
      <c r="F33" s="256"/>
      <c r="G33" s="266"/>
      <c r="H33" s="228"/>
      <c r="I33" s="228"/>
      <c r="J33" s="228"/>
      <c r="K33" s="228"/>
      <c r="L33" s="228"/>
      <c r="M33" s="276"/>
      <c r="N33" s="276"/>
      <c r="P33" s="485">
        <v>9</v>
      </c>
      <c r="Q33" s="487" t="s">
        <v>751</v>
      </c>
      <c r="R33" s="486">
        <f t="shared" si="4"/>
        <v>10</v>
      </c>
      <c r="S33" s="487" t="str">
        <f t="shared" si="3"/>
        <v>910</v>
      </c>
      <c r="T33" s="506">
        <v>0.25507999999999997</v>
      </c>
      <c r="U33" s="506">
        <v>2.9491000000000001</v>
      </c>
      <c r="V33" s="506">
        <v>0.8</v>
      </c>
      <c r="W33" s="507">
        <v>1.8</v>
      </c>
      <c r="X33" s="485"/>
      <c r="Y33" s="486"/>
      <c r="Z33" s="486"/>
      <c r="AA33" s="486"/>
      <c r="AB33" s="486"/>
    </row>
    <row r="34" spans="2:28" x14ac:dyDescent="0.4">
      <c r="B34" s="256"/>
      <c r="C34" s="256"/>
      <c r="D34" s="266"/>
      <c r="E34" s="266"/>
      <c r="F34" s="256"/>
      <c r="G34" s="266"/>
      <c r="H34" s="228"/>
      <c r="I34" s="228"/>
      <c r="J34" s="228"/>
      <c r="K34" s="228"/>
      <c r="L34" s="228"/>
      <c r="M34" s="276"/>
      <c r="N34" s="276"/>
      <c r="P34" s="485">
        <v>10</v>
      </c>
      <c r="Q34" s="487" t="s">
        <v>752</v>
      </c>
      <c r="R34" s="486">
        <f t="shared" ref="R34:R43" si="5">B24</f>
        <v>1</v>
      </c>
      <c r="S34" s="487" t="str">
        <f t="shared" si="3"/>
        <v>101</v>
      </c>
      <c r="T34" s="506">
        <v>0.40884999999999999</v>
      </c>
      <c r="U34" s="506">
        <v>3.9053</v>
      </c>
      <c r="V34" s="506">
        <v>0.8</v>
      </c>
      <c r="W34" s="507">
        <v>1.33</v>
      </c>
    </row>
    <row r="35" spans="2:28" ht="15.4" x14ac:dyDescent="0.45">
      <c r="B35" s="72"/>
      <c r="C35" s="72"/>
      <c r="D35" s="72"/>
      <c r="E35" s="255"/>
      <c r="F35" s="255"/>
      <c r="G35" s="255"/>
      <c r="H35" s="72"/>
      <c r="I35" s="239"/>
      <c r="J35" s="239"/>
      <c r="K35" s="239"/>
      <c r="L35" s="239"/>
      <c r="M35" s="277"/>
      <c r="N35" s="531"/>
      <c r="P35" s="485">
        <v>10</v>
      </c>
      <c r="Q35" s="487" t="s">
        <v>752</v>
      </c>
      <c r="R35" s="486">
        <f t="shared" si="5"/>
        <v>2</v>
      </c>
      <c r="S35" s="487" t="str">
        <f t="shared" si="3"/>
        <v>102</v>
      </c>
      <c r="T35" s="506">
        <v>0.37206</v>
      </c>
      <c r="U35" s="506">
        <v>3.83521</v>
      </c>
      <c r="V35" s="506">
        <v>0.8</v>
      </c>
      <c r="W35" s="507">
        <v>1.2</v>
      </c>
    </row>
    <row r="36" spans="2:28" ht="15.4" x14ac:dyDescent="0.45">
      <c r="B36" s="70" t="s">
        <v>56</v>
      </c>
      <c r="C36" s="70"/>
      <c r="D36" s="73"/>
      <c r="E36" s="281" t="s">
        <v>263</v>
      </c>
      <c r="F36" s="282" t="s">
        <v>359</v>
      </c>
      <c r="G36" s="70"/>
      <c r="H36" s="70"/>
      <c r="I36" s="70"/>
      <c r="J36" s="70"/>
      <c r="K36" s="220" t="s">
        <v>55</v>
      </c>
      <c r="L36" s="69" t="s">
        <v>185</v>
      </c>
      <c r="M36" s="221" t="s">
        <v>193</v>
      </c>
      <c r="N36" s="69" t="s">
        <v>203</v>
      </c>
      <c r="P36" s="485">
        <v>10</v>
      </c>
      <c r="Q36" s="487" t="s">
        <v>752</v>
      </c>
      <c r="R36" s="486">
        <f t="shared" si="5"/>
        <v>3</v>
      </c>
      <c r="S36" s="487" t="str">
        <f t="shared" si="3"/>
        <v>103</v>
      </c>
      <c r="T36" s="506">
        <v>0.37352000000000002</v>
      </c>
      <c r="U36" s="506">
        <v>2.4142000000000001</v>
      </c>
      <c r="V36" s="506">
        <v>0.8</v>
      </c>
      <c r="W36" s="507">
        <v>1.33</v>
      </c>
    </row>
    <row r="37" spans="2:28" x14ac:dyDescent="0.4">
      <c r="B37" s="228"/>
      <c r="C37" s="228"/>
      <c r="D37" s="228"/>
      <c r="E37" s="228"/>
      <c r="F37" s="228"/>
      <c r="G37" s="228"/>
      <c r="H37" s="228"/>
      <c r="I37" s="228"/>
      <c r="J37" s="228"/>
      <c r="K37" s="228"/>
      <c r="L37" s="237"/>
      <c r="M37" s="238"/>
      <c r="N37" s="238"/>
      <c r="P37" s="485">
        <v>10</v>
      </c>
      <c r="Q37" s="487" t="s">
        <v>752</v>
      </c>
      <c r="R37" s="486">
        <f t="shared" si="5"/>
        <v>4</v>
      </c>
      <c r="S37" s="487" t="str">
        <f t="shared" si="3"/>
        <v>104</v>
      </c>
      <c r="T37" s="506">
        <v>0.37352000000000002</v>
      </c>
      <c r="U37" s="506">
        <v>3.6844000000000001</v>
      </c>
      <c r="V37" s="506">
        <v>0.8</v>
      </c>
      <c r="W37" s="507">
        <v>1.1499999999999999</v>
      </c>
    </row>
    <row r="38" spans="2:28" x14ac:dyDescent="0.4">
      <c r="B38" s="229" t="s">
        <v>271</v>
      </c>
      <c r="C38" s="228"/>
      <c r="D38" s="228"/>
      <c r="E38" s="228">
        <f>'Data input'!E3</f>
        <v>3</v>
      </c>
      <c r="F38" s="283" t="str">
        <f>'Electicity, Gas &amp; Diesel'!L14</f>
        <v>Tas</v>
      </c>
      <c r="G38" s="228"/>
      <c r="H38" s="228"/>
      <c r="I38" s="228"/>
      <c r="J38" s="228"/>
      <c r="K38" s="228" t="s">
        <v>272</v>
      </c>
      <c r="L38" s="237"/>
      <c r="M38" s="238"/>
      <c r="N38" s="238"/>
      <c r="P38" s="485">
        <v>10</v>
      </c>
      <c r="Q38" s="487" t="s">
        <v>752</v>
      </c>
      <c r="R38" s="486">
        <f t="shared" si="5"/>
        <v>5</v>
      </c>
      <c r="S38" s="487" t="str">
        <f t="shared" si="3"/>
        <v>105</v>
      </c>
      <c r="T38" s="506">
        <v>0.34845999999999999</v>
      </c>
      <c r="U38" s="506">
        <v>3.9977200000000002</v>
      </c>
      <c r="V38" s="506">
        <v>0.8</v>
      </c>
      <c r="W38" s="507">
        <v>1.25</v>
      </c>
    </row>
    <row r="39" spans="2:28" x14ac:dyDescent="0.4">
      <c r="B39" s="229" t="s">
        <v>260</v>
      </c>
      <c r="C39" s="228"/>
      <c r="D39" s="228"/>
      <c r="E39" s="228">
        <f>'Data input'!D80</f>
        <v>3</v>
      </c>
      <c r="F39" s="283" t="str">
        <f>INDEX(C24:C33,MATCH(E39,B24:B33,0))</f>
        <v>Melaleuca woodland</v>
      </c>
      <c r="G39" s="228"/>
      <c r="H39" s="228"/>
      <c r="I39" s="228"/>
      <c r="J39" s="228"/>
      <c r="K39" s="228" t="s">
        <v>260</v>
      </c>
      <c r="L39" s="237"/>
      <c r="M39" s="238"/>
      <c r="N39" s="238"/>
      <c r="P39" s="485">
        <v>10</v>
      </c>
      <c r="Q39" s="487" t="s">
        <v>752</v>
      </c>
      <c r="R39" s="486">
        <f t="shared" si="5"/>
        <v>6</v>
      </c>
      <c r="S39" s="487" t="str">
        <f t="shared" si="3"/>
        <v>106</v>
      </c>
      <c r="T39" s="506">
        <v>0.26884000000000002</v>
      </c>
      <c r="U39" s="506">
        <v>2.4656799999999999</v>
      </c>
      <c r="V39" s="506">
        <v>0.8</v>
      </c>
      <c r="W39" s="507">
        <v>1.4</v>
      </c>
    </row>
    <row r="40" spans="2:28" x14ac:dyDescent="0.4">
      <c r="B40" s="229" t="s">
        <v>261</v>
      </c>
      <c r="C40" s="228"/>
      <c r="D40" s="228"/>
      <c r="E40" s="278">
        <f>'Data input'!D78</f>
        <v>1</v>
      </c>
      <c r="F40" s="283" t="str">
        <f>INDEX(C4:C5,MATCH(E40,B4:B5,0))</f>
        <v>High</v>
      </c>
      <c r="G40" s="228"/>
      <c r="H40" s="228"/>
      <c r="I40" s="228"/>
      <c r="J40" s="228"/>
      <c r="K40" s="228"/>
      <c r="L40" s="237"/>
      <c r="M40" s="238"/>
      <c r="N40" s="238"/>
      <c r="P40" s="485">
        <v>10</v>
      </c>
      <c r="Q40" s="487" t="s">
        <v>752</v>
      </c>
      <c r="R40" s="486">
        <f t="shared" si="5"/>
        <v>7</v>
      </c>
      <c r="S40" s="487" t="str">
        <f t="shared" si="3"/>
        <v>107</v>
      </c>
      <c r="T40" s="506">
        <v>0.25533</v>
      </c>
      <c r="U40" s="506">
        <v>2.72722</v>
      </c>
      <c r="V40" s="506">
        <v>0.8</v>
      </c>
      <c r="W40" s="507">
        <v>1.7</v>
      </c>
    </row>
    <row r="41" spans="2:28" x14ac:dyDescent="0.4">
      <c r="B41" s="229" t="s">
        <v>282</v>
      </c>
      <c r="C41" s="228"/>
      <c r="D41" s="228"/>
      <c r="E41" s="280">
        <f>'Data input'!D82</f>
        <v>2</v>
      </c>
      <c r="F41" s="283" t="str">
        <f>INDEX(E4:E5,MATCH(E41,D4:D5,0))</f>
        <v>Late Dry Season</v>
      </c>
      <c r="G41" s="228"/>
      <c r="H41" s="228"/>
      <c r="I41" s="228"/>
      <c r="J41" s="228"/>
      <c r="K41" s="228"/>
      <c r="L41" s="237"/>
      <c r="M41" s="238"/>
      <c r="N41" s="238"/>
      <c r="P41" s="485">
        <v>10</v>
      </c>
      <c r="Q41" s="487" t="s">
        <v>752</v>
      </c>
      <c r="R41" s="486">
        <f t="shared" si="5"/>
        <v>8</v>
      </c>
      <c r="S41" s="487" t="str">
        <f t="shared" si="3"/>
        <v>108</v>
      </c>
      <c r="T41" s="506">
        <v>0.25396000000000002</v>
      </c>
      <c r="U41" s="506">
        <v>2.5792000000000002</v>
      </c>
      <c r="V41" s="506">
        <v>0.8</v>
      </c>
      <c r="W41" s="507">
        <v>1.4</v>
      </c>
    </row>
    <row r="42" spans="2:28" x14ac:dyDescent="0.4">
      <c r="B42" s="229" t="s">
        <v>291</v>
      </c>
      <c r="C42" s="228"/>
      <c r="D42" s="228"/>
      <c r="E42" s="278">
        <f>'Data input'!D84</f>
        <v>2</v>
      </c>
      <c r="F42" s="283" t="str">
        <f>INDEX(G4:G5,MATCH(E42,F4:F5,0))</f>
        <v>Fine</v>
      </c>
      <c r="G42" s="228"/>
      <c r="H42" s="228"/>
      <c r="I42" s="228"/>
      <c r="J42" s="228"/>
      <c r="K42" s="228"/>
      <c r="L42" s="237"/>
      <c r="M42" s="238"/>
      <c r="N42" s="238"/>
      <c r="P42" s="485">
        <v>10</v>
      </c>
      <c r="Q42" s="487" t="s">
        <v>752</v>
      </c>
      <c r="R42" s="486">
        <f t="shared" si="5"/>
        <v>9</v>
      </c>
      <c r="S42" s="487" t="str">
        <f t="shared" si="3"/>
        <v>109</v>
      </c>
      <c r="T42" s="506">
        <v>0.24826000000000001</v>
      </c>
      <c r="U42" s="506">
        <v>2.8956200000000001</v>
      </c>
      <c r="V42" s="506">
        <v>0.8</v>
      </c>
      <c r="W42" s="507">
        <v>1</v>
      </c>
    </row>
    <row r="43" spans="2:28" x14ac:dyDescent="0.4">
      <c r="B43" s="229" t="s">
        <v>281</v>
      </c>
      <c r="C43" s="228"/>
      <c r="D43" s="228"/>
      <c r="E43" s="278">
        <f>'Data input'!D90</f>
        <v>1</v>
      </c>
      <c r="F43" s="283" t="str">
        <f>INDEX(I4:I5,MATCH(E43,H4:H5,0))</f>
        <v>High</v>
      </c>
      <c r="G43" s="228"/>
      <c r="H43" s="228"/>
      <c r="I43" s="228"/>
      <c r="J43" s="228"/>
      <c r="K43" s="228"/>
      <c r="L43" s="237"/>
      <c r="M43" s="238"/>
      <c r="N43" s="238"/>
      <c r="P43" s="490">
        <v>10</v>
      </c>
      <c r="Q43" s="492" t="s">
        <v>752</v>
      </c>
      <c r="R43" s="491">
        <f t="shared" si="5"/>
        <v>10</v>
      </c>
      <c r="S43" s="492" t="str">
        <f t="shared" si="3"/>
        <v>1010</v>
      </c>
      <c r="T43" s="508">
        <v>0.25507999999999997</v>
      </c>
      <c r="U43" s="508">
        <v>2.9491000000000001</v>
      </c>
      <c r="V43" s="508">
        <v>0.8</v>
      </c>
      <c r="W43" s="509">
        <v>1.8</v>
      </c>
    </row>
    <row r="44" spans="2:28" x14ac:dyDescent="0.4">
      <c r="B44" s="229" t="s">
        <v>270</v>
      </c>
      <c r="C44" s="228"/>
      <c r="D44" s="228"/>
      <c r="E44" s="228">
        <f>'Data input'!$D$86</f>
        <v>5</v>
      </c>
      <c r="F44" s="283"/>
      <c r="G44" s="228"/>
      <c r="H44" s="228"/>
      <c r="I44" s="228"/>
      <c r="J44" s="228"/>
      <c r="K44" s="228" t="s">
        <v>189</v>
      </c>
      <c r="L44" s="237"/>
      <c r="M44" s="238"/>
      <c r="N44" s="238"/>
    </row>
    <row r="45" spans="2:28" x14ac:dyDescent="0.4">
      <c r="B45" s="229"/>
      <c r="C45" s="228"/>
      <c r="D45" s="228"/>
      <c r="E45" s="228"/>
      <c r="F45" s="283"/>
      <c r="G45" s="228"/>
      <c r="H45" s="228"/>
      <c r="I45" s="228"/>
      <c r="J45" s="228"/>
      <c r="K45" s="228"/>
      <c r="L45" s="237"/>
      <c r="M45" s="238"/>
      <c r="N45" s="238"/>
      <c r="P45" s="481" t="s">
        <v>275</v>
      </c>
      <c r="Q45" s="481"/>
    </row>
    <row r="46" spans="2:28" x14ac:dyDescent="0.4">
      <c r="B46" s="229" t="s">
        <v>264</v>
      </c>
      <c r="C46" s="228"/>
      <c r="D46" s="228"/>
      <c r="E46" s="278" t="str">
        <f>E38&amp;E39</f>
        <v>33</v>
      </c>
      <c r="F46" s="283"/>
      <c r="G46" s="228"/>
      <c r="H46" s="228"/>
      <c r="I46" s="228"/>
      <c r="J46" s="228"/>
      <c r="K46" s="228"/>
      <c r="L46" s="237"/>
      <c r="M46" s="238"/>
      <c r="N46" s="238"/>
      <c r="P46" s="482" t="s">
        <v>271</v>
      </c>
      <c r="Q46" s="483" t="s">
        <v>50</v>
      </c>
      <c r="R46" s="483" t="s">
        <v>245</v>
      </c>
      <c r="S46" s="483" t="s">
        <v>265</v>
      </c>
      <c r="T46" s="483" t="s">
        <v>246</v>
      </c>
      <c r="U46" s="483" t="s">
        <v>247</v>
      </c>
      <c r="V46" s="484" t="s">
        <v>248</v>
      </c>
    </row>
    <row r="47" spans="2:28" x14ac:dyDescent="0.4">
      <c r="B47" s="229" t="s">
        <v>270</v>
      </c>
      <c r="C47" s="228"/>
      <c r="D47" s="228"/>
      <c r="E47" s="228">
        <f>E44</f>
        <v>5</v>
      </c>
      <c r="F47" s="283"/>
      <c r="G47" s="228"/>
      <c r="H47" s="228"/>
      <c r="I47" s="228"/>
      <c r="J47" s="228"/>
      <c r="K47" s="228" t="s">
        <v>189</v>
      </c>
      <c r="L47" s="237"/>
      <c r="M47" s="238"/>
      <c r="N47" s="238"/>
      <c r="P47" s="485">
        <v>7</v>
      </c>
      <c r="Q47" s="487" t="s">
        <v>470</v>
      </c>
      <c r="R47" s="486">
        <f t="shared" ref="R47:R56" si="6">B24</f>
        <v>1</v>
      </c>
      <c r="S47" s="487" t="str">
        <f>P47&amp;R47</f>
        <v>71</v>
      </c>
      <c r="T47" s="488">
        <v>5.97818</v>
      </c>
      <c r="U47" s="488">
        <v>5.8880000000000002E-2</v>
      </c>
      <c r="V47" s="489">
        <v>7.1999999999999995E-2</v>
      </c>
    </row>
    <row r="48" spans="2:28" x14ac:dyDescent="0.4">
      <c r="B48" s="229" t="s">
        <v>262</v>
      </c>
      <c r="C48" s="228"/>
      <c r="D48" s="228"/>
      <c r="E48" s="230" t="e">
        <f>INDEX(T4:T43,MATCH(E46,S4:S43,0))</f>
        <v>#N/A</v>
      </c>
      <c r="F48" s="283"/>
      <c r="G48" s="228"/>
      <c r="H48" s="228"/>
      <c r="I48" s="228"/>
      <c r="J48" s="228"/>
      <c r="K48" s="228" t="s">
        <v>273</v>
      </c>
      <c r="L48" s="237"/>
      <c r="M48" s="238"/>
      <c r="N48" s="238"/>
      <c r="P48" s="485">
        <v>7</v>
      </c>
      <c r="Q48" s="487" t="s">
        <v>470</v>
      </c>
      <c r="R48" s="486">
        <f t="shared" si="6"/>
        <v>2</v>
      </c>
      <c r="S48" s="487" t="str">
        <f t="shared" ref="S48:S86" si="7">P48&amp;R48</f>
        <v>72</v>
      </c>
      <c r="T48" s="488">
        <v>5.4074999999999998</v>
      </c>
      <c r="U48" s="488">
        <v>0.24606</v>
      </c>
      <c r="V48" s="489">
        <v>7.1999999999999995E-2</v>
      </c>
    </row>
    <row r="49" spans="2:22" x14ac:dyDescent="0.4">
      <c r="B49" s="229" t="s">
        <v>266</v>
      </c>
      <c r="C49" s="228"/>
      <c r="D49" s="228"/>
      <c r="E49" s="230" t="e">
        <f>INDEX(U4:U43,MATCH(E46,S4:S43,0))</f>
        <v>#N/A</v>
      </c>
      <c r="F49" s="283"/>
      <c r="G49" s="228"/>
      <c r="H49" s="228"/>
      <c r="I49" s="228"/>
      <c r="J49" s="228"/>
      <c r="K49" s="228" t="s">
        <v>273</v>
      </c>
      <c r="L49" s="237"/>
      <c r="M49" s="238"/>
      <c r="N49" s="238"/>
      <c r="P49" s="485">
        <v>7</v>
      </c>
      <c r="Q49" s="487" t="s">
        <v>470</v>
      </c>
      <c r="R49" s="486">
        <f t="shared" si="6"/>
        <v>3</v>
      </c>
      <c r="S49" s="487" t="str">
        <f t="shared" si="7"/>
        <v>73</v>
      </c>
      <c r="T49" s="488">
        <v>4.9619799999999996</v>
      </c>
      <c r="U49" s="488">
        <v>0.18948000000000001</v>
      </c>
      <c r="V49" s="489">
        <v>7.1999999999999995E-2</v>
      </c>
    </row>
    <row r="50" spans="2:22" x14ac:dyDescent="0.4">
      <c r="B50" s="229" t="s">
        <v>267</v>
      </c>
      <c r="C50" s="228"/>
      <c r="D50" s="228"/>
      <c r="E50" s="228" t="e">
        <f>INDEX(V4:V43,MATCH(E46,S4:S43,0))</f>
        <v>#N/A</v>
      </c>
      <c r="F50" s="283"/>
      <c r="G50" s="228"/>
      <c r="H50" s="228"/>
      <c r="I50" s="228"/>
      <c r="J50" s="228"/>
      <c r="K50" s="228"/>
      <c r="L50" s="237"/>
      <c r="M50" s="238"/>
      <c r="N50" s="238"/>
      <c r="P50" s="485">
        <v>7</v>
      </c>
      <c r="Q50" s="487" t="s">
        <v>470</v>
      </c>
      <c r="R50" s="486">
        <f t="shared" si="6"/>
        <v>4</v>
      </c>
      <c r="S50" s="487" t="str">
        <f t="shared" si="7"/>
        <v>74</v>
      </c>
      <c r="T50" s="488">
        <v>4.9619799999999996</v>
      </c>
      <c r="U50" s="488">
        <v>0.18948000000000001</v>
      </c>
      <c r="V50" s="489">
        <v>7.1999999999999995E-2</v>
      </c>
    </row>
    <row r="51" spans="2:22" x14ac:dyDescent="0.4">
      <c r="B51" s="229" t="s">
        <v>268</v>
      </c>
      <c r="C51" s="228"/>
      <c r="D51" s="228"/>
      <c r="E51" s="228" t="e">
        <f>INDEX(W4:W43,MATCH(E46,S4:S43,0))</f>
        <v>#N/A</v>
      </c>
      <c r="F51" s="283"/>
      <c r="G51" s="228"/>
      <c r="H51" s="228"/>
      <c r="I51" s="228"/>
      <c r="J51" s="228"/>
      <c r="K51" s="228"/>
      <c r="L51" s="237"/>
      <c r="M51" s="238"/>
      <c r="N51" s="238"/>
      <c r="P51" s="485">
        <v>7</v>
      </c>
      <c r="Q51" s="487" t="s">
        <v>470</v>
      </c>
      <c r="R51" s="486">
        <f t="shared" si="6"/>
        <v>5</v>
      </c>
      <c r="S51" s="487" t="str">
        <f t="shared" si="7"/>
        <v>75</v>
      </c>
      <c r="T51" s="488">
        <v>5.2155699999999996</v>
      </c>
      <c r="U51" s="488">
        <v>0.21756</v>
      </c>
      <c r="V51" s="489">
        <v>7.1999999999999995E-2</v>
      </c>
    </row>
    <row r="52" spans="2:22" x14ac:dyDescent="0.4">
      <c r="B52" s="228"/>
      <c r="C52" s="228"/>
      <c r="D52" s="228"/>
      <c r="E52" s="228"/>
      <c r="F52" s="283"/>
      <c r="G52" s="228"/>
      <c r="H52" s="228"/>
      <c r="I52" s="228"/>
      <c r="J52" s="228"/>
      <c r="K52" s="228"/>
      <c r="L52" s="237"/>
      <c r="M52" s="238"/>
      <c r="N52" s="238"/>
      <c r="P52" s="485">
        <v>7</v>
      </c>
      <c r="Q52" s="487" t="s">
        <v>470</v>
      </c>
      <c r="R52" s="486">
        <f t="shared" si="6"/>
        <v>6</v>
      </c>
      <c r="S52" s="487" t="str">
        <f t="shared" si="7"/>
        <v>76</v>
      </c>
      <c r="T52" s="488">
        <v>8.5515799999999995</v>
      </c>
      <c r="U52" s="488">
        <v>7.22E-2</v>
      </c>
      <c r="V52" s="489">
        <v>7.1999999999999995E-2</v>
      </c>
    </row>
    <row r="53" spans="2:22" x14ac:dyDescent="0.4">
      <c r="B53" s="229" t="s">
        <v>277</v>
      </c>
      <c r="C53" s="228"/>
      <c r="D53" s="228"/>
      <c r="E53" s="228"/>
      <c r="F53" s="283"/>
      <c r="G53" s="228"/>
      <c r="H53" s="228"/>
      <c r="I53" s="228"/>
      <c r="J53" s="228"/>
      <c r="K53" s="228"/>
      <c r="L53" s="532" t="s">
        <v>761</v>
      </c>
      <c r="M53" s="238" t="s">
        <v>279</v>
      </c>
      <c r="N53" s="238" t="s">
        <v>197</v>
      </c>
      <c r="P53" s="485">
        <v>7</v>
      </c>
      <c r="Q53" s="487" t="s">
        <v>470</v>
      </c>
      <c r="R53" s="486">
        <f t="shared" si="6"/>
        <v>7</v>
      </c>
      <c r="S53" s="487" t="str">
        <f t="shared" si="7"/>
        <v>77</v>
      </c>
      <c r="T53" s="488">
        <v>8.1430799999999994</v>
      </c>
      <c r="U53" s="488">
        <v>0.22387000000000001</v>
      </c>
      <c r="V53" s="489">
        <v>7.1999999999999995E-2</v>
      </c>
    </row>
    <row r="54" spans="2:22" x14ac:dyDescent="0.4">
      <c r="B54" s="228"/>
      <c r="C54" s="228"/>
      <c r="D54" s="228"/>
      <c r="E54" s="228"/>
      <c r="F54" s="283"/>
      <c r="G54" s="228"/>
      <c r="H54" s="228"/>
      <c r="I54" s="228"/>
      <c r="J54" s="228"/>
      <c r="K54" s="228"/>
      <c r="L54" s="237"/>
      <c r="M54" s="238"/>
      <c r="N54" s="238"/>
      <c r="P54" s="485">
        <v>7</v>
      </c>
      <c r="Q54" s="487" t="s">
        <v>470</v>
      </c>
      <c r="R54" s="486">
        <f t="shared" si="6"/>
        <v>8</v>
      </c>
      <c r="S54" s="487" t="str">
        <f t="shared" si="7"/>
        <v>78</v>
      </c>
      <c r="T54" s="488">
        <v>7.97898</v>
      </c>
      <c r="U54" s="488">
        <v>0.12031</v>
      </c>
      <c r="V54" s="489">
        <v>7.1999999999999995E-2</v>
      </c>
    </row>
    <row r="55" spans="2:22" x14ac:dyDescent="0.4">
      <c r="B55" s="229" t="s">
        <v>274</v>
      </c>
      <c r="C55" s="228"/>
      <c r="D55" s="228"/>
      <c r="E55" s="231" t="e">
        <f>(E49/E50)*(1-(1*(E50*E48)*EXP(-E50*E44)))*E51</f>
        <v>#N/A</v>
      </c>
      <c r="F55" s="283"/>
      <c r="G55" s="228"/>
      <c r="H55" s="228"/>
      <c r="I55" s="228"/>
      <c r="J55" s="228"/>
      <c r="K55" s="228" t="s">
        <v>273</v>
      </c>
      <c r="L55" s="237"/>
      <c r="M55" s="238"/>
      <c r="N55" s="238"/>
      <c r="P55" s="485">
        <v>7</v>
      </c>
      <c r="Q55" s="487" t="s">
        <v>470</v>
      </c>
      <c r="R55" s="486">
        <f t="shared" si="6"/>
        <v>9</v>
      </c>
      <c r="S55" s="487" t="str">
        <f t="shared" si="7"/>
        <v>79</v>
      </c>
      <c r="T55" s="488">
        <v>7.8505000000000003</v>
      </c>
      <c r="U55" s="488">
        <v>0.12056</v>
      </c>
      <c r="V55" s="489">
        <v>7.1999999999999995E-2</v>
      </c>
    </row>
    <row r="56" spans="2:22" x14ac:dyDescent="0.4">
      <c r="B56" s="228"/>
      <c r="C56" s="228"/>
      <c r="D56" s="228"/>
      <c r="E56" s="228"/>
      <c r="F56" s="283"/>
      <c r="G56" s="228"/>
      <c r="H56" s="228"/>
      <c r="I56" s="228"/>
      <c r="J56" s="228"/>
      <c r="K56" s="228"/>
      <c r="L56" s="237"/>
      <c r="M56" s="238"/>
      <c r="N56" s="238"/>
      <c r="P56" s="485">
        <v>7</v>
      </c>
      <c r="Q56" s="487" t="s">
        <v>470</v>
      </c>
      <c r="R56" s="486">
        <f t="shared" si="6"/>
        <v>10</v>
      </c>
      <c r="S56" s="487" t="str">
        <f t="shared" si="7"/>
        <v>710</v>
      </c>
      <c r="T56" s="488">
        <v>7.4846199999999996</v>
      </c>
      <c r="U56" s="488">
        <v>0.2044</v>
      </c>
      <c r="V56" s="489">
        <v>7.1999999999999995E-2</v>
      </c>
    </row>
    <row r="57" spans="2:22" x14ac:dyDescent="0.4">
      <c r="B57" s="229" t="s">
        <v>270</v>
      </c>
      <c r="C57" s="228"/>
      <c r="D57" s="228"/>
      <c r="E57" s="228">
        <f>'Data input'!$D$86</f>
        <v>5</v>
      </c>
      <c r="F57" s="283"/>
      <c r="G57" s="228"/>
      <c r="H57" s="228"/>
      <c r="I57" s="228"/>
      <c r="J57" s="228"/>
      <c r="K57" s="228" t="s">
        <v>189</v>
      </c>
      <c r="L57" s="237"/>
      <c r="M57" s="238"/>
      <c r="N57" s="238"/>
      <c r="P57" s="485">
        <v>8</v>
      </c>
      <c r="Q57" s="487" t="s">
        <v>54</v>
      </c>
      <c r="R57" s="486">
        <f t="shared" ref="R57:R66" si="8">B24</f>
        <v>1</v>
      </c>
      <c r="S57" s="487" t="str">
        <f t="shared" si="7"/>
        <v>81</v>
      </c>
      <c r="T57" s="488">
        <v>5.97818</v>
      </c>
      <c r="U57" s="488">
        <v>5.8880000000000002E-2</v>
      </c>
      <c r="V57" s="489">
        <v>7.1999999999999995E-2</v>
      </c>
    </row>
    <row r="58" spans="2:22" x14ac:dyDescent="0.4">
      <c r="B58" s="229" t="s">
        <v>262</v>
      </c>
      <c r="C58" s="228"/>
      <c r="D58" s="228"/>
      <c r="E58" s="230" t="e">
        <f>INDEX(T47:T86,MATCH(E46,S47:S86,0))</f>
        <v>#N/A</v>
      </c>
      <c r="F58" s="283"/>
      <c r="G58" s="228"/>
      <c r="H58" s="228"/>
      <c r="I58" s="228"/>
      <c r="J58" s="228"/>
      <c r="K58" s="228" t="s">
        <v>273</v>
      </c>
      <c r="L58" s="237"/>
      <c r="M58" s="238"/>
      <c r="N58" s="238"/>
      <c r="P58" s="485">
        <v>8</v>
      </c>
      <c r="Q58" s="487" t="s">
        <v>54</v>
      </c>
      <c r="R58" s="486">
        <f t="shared" si="8"/>
        <v>2</v>
      </c>
      <c r="S58" s="487" t="str">
        <f t="shared" si="7"/>
        <v>82</v>
      </c>
      <c r="T58" s="488">
        <v>5.4074999999999998</v>
      </c>
      <c r="U58" s="488">
        <v>0.24606</v>
      </c>
      <c r="V58" s="489">
        <v>7.1999999999999995E-2</v>
      </c>
    </row>
    <row r="59" spans="2:22" x14ac:dyDescent="0.4">
      <c r="B59" s="229" t="s">
        <v>266</v>
      </c>
      <c r="C59" s="228"/>
      <c r="D59" s="228"/>
      <c r="E59" s="230" t="e">
        <f>INDEX(U47:U86,MATCH(E46,S47:S86,0))</f>
        <v>#N/A</v>
      </c>
      <c r="F59" s="283"/>
      <c r="G59" s="228"/>
      <c r="H59" s="228"/>
      <c r="I59" s="228"/>
      <c r="J59" s="228"/>
      <c r="K59" s="228" t="s">
        <v>273</v>
      </c>
      <c r="L59" s="237"/>
      <c r="M59" s="238"/>
      <c r="N59" s="238"/>
      <c r="P59" s="485">
        <v>8</v>
      </c>
      <c r="Q59" s="487" t="s">
        <v>54</v>
      </c>
      <c r="R59" s="486">
        <f t="shared" si="8"/>
        <v>3</v>
      </c>
      <c r="S59" s="487" t="str">
        <f t="shared" si="7"/>
        <v>83</v>
      </c>
      <c r="T59" s="488">
        <v>4.9619799999999996</v>
      </c>
      <c r="U59" s="488">
        <v>0.18948000000000001</v>
      </c>
      <c r="V59" s="489">
        <v>7.1999999999999995E-2</v>
      </c>
    </row>
    <row r="60" spans="2:22" x14ac:dyDescent="0.4">
      <c r="B60" s="229" t="s">
        <v>267</v>
      </c>
      <c r="C60" s="228"/>
      <c r="D60" s="228"/>
      <c r="E60" s="230" t="e">
        <f>INDEX(V47:V86,MATCH(E46,S47:S86,0))</f>
        <v>#N/A</v>
      </c>
      <c r="F60" s="283"/>
      <c r="G60" s="228"/>
      <c r="H60" s="228"/>
      <c r="I60" s="228"/>
      <c r="J60" s="228"/>
      <c r="K60" s="228"/>
      <c r="L60" s="237"/>
      <c r="M60" s="238"/>
      <c r="N60" s="238"/>
      <c r="P60" s="485">
        <v>8</v>
      </c>
      <c r="Q60" s="487" t="s">
        <v>54</v>
      </c>
      <c r="R60" s="486">
        <f t="shared" si="8"/>
        <v>4</v>
      </c>
      <c r="S60" s="487" t="str">
        <f t="shared" si="7"/>
        <v>84</v>
      </c>
      <c r="T60" s="488">
        <v>4.9619799999999996</v>
      </c>
      <c r="U60" s="488">
        <v>0.18948000000000001</v>
      </c>
      <c r="V60" s="489">
        <v>7.1999999999999995E-2</v>
      </c>
    </row>
    <row r="61" spans="2:22" x14ac:dyDescent="0.4">
      <c r="B61" s="229"/>
      <c r="C61" s="228"/>
      <c r="D61" s="228"/>
      <c r="E61" s="228"/>
      <c r="F61" s="283"/>
      <c r="G61" s="228"/>
      <c r="H61" s="228"/>
      <c r="I61" s="228"/>
      <c r="J61" s="228"/>
      <c r="K61" s="228"/>
      <c r="L61" s="237"/>
      <c r="M61" s="238"/>
      <c r="N61" s="238"/>
      <c r="P61" s="485">
        <v>8</v>
      </c>
      <c r="Q61" s="487" t="s">
        <v>54</v>
      </c>
      <c r="R61" s="486">
        <f t="shared" si="8"/>
        <v>5</v>
      </c>
      <c r="S61" s="487" t="str">
        <f t="shared" si="7"/>
        <v>85</v>
      </c>
      <c r="T61" s="488">
        <v>5.2155699999999996</v>
      </c>
      <c r="U61" s="488">
        <v>0.21756</v>
      </c>
      <c r="V61" s="489">
        <v>7.1999999999999995E-2</v>
      </c>
    </row>
    <row r="62" spans="2:22" x14ac:dyDescent="0.4">
      <c r="B62" s="229" t="s">
        <v>276</v>
      </c>
      <c r="C62" s="228"/>
      <c r="D62" s="228"/>
      <c r="E62" s="228"/>
      <c r="F62" s="283"/>
      <c r="G62" s="228"/>
      <c r="H62" s="228"/>
      <c r="I62" s="228"/>
      <c r="J62" s="228"/>
      <c r="K62" s="228"/>
      <c r="L62" s="532" t="s">
        <v>761</v>
      </c>
      <c r="M62" s="238" t="s">
        <v>280</v>
      </c>
      <c r="N62" s="238" t="s">
        <v>197</v>
      </c>
      <c r="P62" s="485">
        <v>8</v>
      </c>
      <c r="Q62" s="487" t="s">
        <v>54</v>
      </c>
      <c r="R62" s="486">
        <f t="shared" si="8"/>
        <v>6</v>
      </c>
      <c r="S62" s="487" t="str">
        <f t="shared" si="7"/>
        <v>86</v>
      </c>
      <c r="T62" s="488">
        <v>8.5515799999999995</v>
      </c>
      <c r="U62" s="488">
        <v>7.22E-2</v>
      </c>
      <c r="V62" s="489">
        <v>7.1999999999999995E-2</v>
      </c>
    </row>
    <row r="63" spans="2:22" x14ac:dyDescent="0.4">
      <c r="B63" s="228"/>
      <c r="C63" s="228"/>
      <c r="D63" s="228"/>
      <c r="E63" s="228"/>
      <c r="F63" s="283"/>
      <c r="G63" s="228"/>
      <c r="H63" s="228"/>
      <c r="I63" s="228"/>
      <c r="J63" s="228"/>
      <c r="K63" s="228"/>
      <c r="L63" s="237"/>
      <c r="M63" s="238"/>
      <c r="N63" s="238"/>
      <c r="P63" s="485">
        <v>8</v>
      </c>
      <c r="Q63" s="487" t="s">
        <v>54</v>
      </c>
      <c r="R63" s="486">
        <f t="shared" si="8"/>
        <v>7</v>
      </c>
      <c r="S63" s="487" t="str">
        <f t="shared" si="7"/>
        <v>87</v>
      </c>
      <c r="T63" s="488">
        <v>8.1430799999999994</v>
      </c>
      <c r="U63" s="488">
        <v>0.22387000000000001</v>
      </c>
      <c r="V63" s="489">
        <v>7.1999999999999995E-2</v>
      </c>
    </row>
    <row r="64" spans="2:22" x14ac:dyDescent="0.4">
      <c r="B64" s="229" t="s">
        <v>278</v>
      </c>
      <c r="C64" s="228"/>
      <c r="D64" s="228"/>
      <c r="E64" s="231" t="e">
        <f>(E59/E60)*(1-(E60*E58)*EXP(-E60*E57))</f>
        <v>#N/A</v>
      </c>
      <c r="F64" s="283"/>
      <c r="G64" s="228"/>
      <c r="H64" s="228"/>
      <c r="I64" s="228"/>
      <c r="J64" s="228"/>
      <c r="K64" s="228" t="s">
        <v>273</v>
      </c>
      <c r="L64" s="237"/>
      <c r="M64" s="238"/>
      <c r="N64" s="238"/>
      <c r="P64" s="485">
        <v>8</v>
      </c>
      <c r="Q64" s="487" t="s">
        <v>54</v>
      </c>
      <c r="R64" s="486">
        <f t="shared" si="8"/>
        <v>8</v>
      </c>
      <c r="S64" s="487" t="str">
        <f t="shared" si="7"/>
        <v>88</v>
      </c>
      <c r="T64" s="488">
        <v>7.97898</v>
      </c>
      <c r="U64" s="488">
        <v>0.12031</v>
      </c>
      <c r="V64" s="489">
        <v>7.1999999999999995E-2</v>
      </c>
    </row>
    <row r="65" spans="2:22" x14ac:dyDescent="0.4">
      <c r="B65" s="228"/>
      <c r="C65" s="228"/>
      <c r="D65" s="228"/>
      <c r="E65" s="228"/>
      <c r="F65" s="283"/>
      <c r="G65" s="228"/>
      <c r="H65" s="228"/>
      <c r="I65" s="228"/>
      <c r="J65" s="228"/>
      <c r="K65" s="228"/>
      <c r="L65" s="237"/>
      <c r="M65" s="238"/>
      <c r="N65" s="238"/>
      <c r="P65" s="485">
        <v>8</v>
      </c>
      <c r="Q65" s="487" t="s">
        <v>54</v>
      </c>
      <c r="R65" s="486">
        <f t="shared" si="8"/>
        <v>9</v>
      </c>
      <c r="S65" s="487" t="str">
        <f t="shared" si="7"/>
        <v>89</v>
      </c>
      <c r="T65" s="488">
        <v>7.8505000000000003</v>
      </c>
      <c r="U65" s="488">
        <v>0.12056</v>
      </c>
      <c r="V65" s="489">
        <v>7.1999999999999995E-2</v>
      </c>
    </row>
    <row r="66" spans="2:22" x14ac:dyDescent="0.4">
      <c r="B66" s="229" t="s">
        <v>261</v>
      </c>
      <c r="C66" s="228"/>
      <c r="D66" s="228"/>
      <c r="E66" s="228">
        <f>E40</f>
        <v>1</v>
      </c>
      <c r="F66" s="283" t="str">
        <f>F40</f>
        <v>High</v>
      </c>
      <c r="G66" s="228"/>
      <c r="H66" s="228"/>
      <c r="I66" s="228"/>
      <c r="J66" s="228"/>
      <c r="K66" s="228"/>
      <c r="L66" s="237"/>
      <c r="M66" s="238"/>
      <c r="N66" s="238"/>
      <c r="P66" s="485">
        <v>8</v>
      </c>
      <c r="Q66" s="487" t="s">
        <v>54</v>
      </c>
      <c r="R66" s="486">
        <f t="shared" si="8"/>
        <v>10</v>
      </c>
      <c r="S66" s="487" t="str">
        <f t="shared" si="7"/>
        <v>810</v>
      </c>
      <c r="T66" s="488">
        <v>7.4846199999999996</v>
      </c>
      <c r="U66" s="488">
        <v>0.2044</v>
      </c>
      <c r="V66" s="489">
        <v>7.1999999999999995E-2</v>
      </c>
    </row>
    <row r="67" spans="2:22" x14ac:dyDescent="0.4">
      <c r="B67" s="229" t="s">
        <v>282</v>
      </c>
      <c r="C67" s="228"/>
      <c r="D67" s="228"/>
      <c r="E67" s="232">
        <f>E41</f>
        <v>2</v>
      </c>
      <c r="F67" s="283" t="str">
        <f>F41</f>
        <v>Late Dry Season</v>
      </c>
      <c r="G67" s="228"/>
      <c r="H67" s="228"/>
      <c r="I67" s="228"/>
      <c r="J67" s="228"/>
      <c r="K67" s="228"/>
      <c r="L67" s="237"/>
      <c r="M67" s="238"/>
      <c r="N67" s="238"/>
      <c r="P67" s="485">
        <v>9</v>
      </c>
      <c r="Q67" s="487" t="s">
        <v>751</v>
      </c>
      <c r="R67" s="486">
        <f t="shared" ref="R67:R76" si="9">B24</f>
        <v>1</v>
      </c>
      <c r="S67" s="487" t="str">
        <f t="shared" si="7"/>
        <v>91</v>
      </c>
      <c r="T67" s="488">
        <v>5.97818</v>
      </c>
      <c r="U67" s="488">
        <v>5.8880000000000002E-2</v>
      </c>
      <c r="V67" s="489">
        <v>7.1999999999999995E-2</v>
      </c>
    </row>
    <row r="68" spans="2:22" x14ac:dyDescent="0.4">
      <c r="B68" s="229" t="s">
        <v>281</v>
      </c>
      <c r="C68" s="228"/>
      <c r="D68" s="228"/>
      <c r="E68" s="228">
        <f>E43</f>
        <v>1</v>
      </c>
      <c r="F68" s="283" t="str">
        <f>F43</f>
        <v>High</v>
      </c>
      <c r="G68" s="228"/>
      <c r="H68" s="228"/>
      <c r="I68" s="228"/>
      <c r="J68" s="228"/>
      <c r="K68" s="228"/>
      <c r="L68" s="237"/>
      <c r="M68" s="238"/>
      <c r="N68" s="238"/>
      <c r="P68" s="485">
        <v>9</v>
      </c>
      <c r="Q68" s="487" t="s">
        <v>751</v>
      </c>
      <c r="R68" s="486">
        <f t="shared" si="9"/>
        <v>2</v>
      </c>
      <c r="S68" s="487" t="str">
        <f t="shared" si="7"/>
        <v>92</v>
      </c>
      <c r="T68" s="488">
        <v>5.4074999999999998</v>
      </c>
      <c r="U68" s="488">
        <v>0.24606</v>
      </c>
      <c r="V68" s="489">
        <v>7.1999999999999995E-2</v>
      </c>
    </row>
    <row r="69" spans="2:22" x14ac:dyDescent="0.4">
      <c r="B69" s="229" t="s">
        <v>355</v>
      </c>
      <c r="C69" s="228"/>
      <c r="D69" s="228"/>
      <c r="E69" s="278" t="str">
        <f>E67&amp;E68</f>
        <v>21</v>
      </c>
      <c r="F69" s="283" t="str">
        <f>F67&amp;F68</f>
        <v>Late Dry SeasonHigh</v>
      </c>
      <c r="G69" s="228"/>
      <c r="H69" s="228"/>
      <c r="I69" s="228"/>
      <c r="J69" s="228"/>
      <c r="K69" s="228"/>
      <c r="L69" s="237"/>
      <c r="M69" s="238"/>
      <c r="N69" s="238"/>
      <c r="P69" s="485">
        <v>9</v>
      </c>
      <c r="Q69" s="487" t="s">
        <v>751</v>
      </c>
      <c r="R69" s="486">
        <f t="shared" si="9"/>
        <v>3</v>
      </c>
      <c r="S69" s="487" t="str">
        <f t="shared" si="7"/>
        <v>93</v>
      </c>
      <c r="T69" s="488">
        <v>4.9619799999999996</v>
      </c>
      <c r="U69" s="488">
        <v>0.18948000000000001</v>
      </c>
      <c r="V69" s="489">
        <v>7.1999999999999995E-2</v>
      </c>
    </row>
    <row r="70" spans="2:22" x14ac:dyDescent="0.4">
      <c r="B70" s="229" t="s">
        <v>352</v>
      </c>
      <c r="C70" s="228"/>
      <c r="D70" s="228"/>
      <c r="E70" s="279">
        <f>INDEX(S97:S100,MATCH(E69,R97:R100,0))</f>
        <v>0.88900000000000001</v>
      </c>
      <c r="F70" s="228"/>
      <c r="G70" s="228"/>
      <c r="H70" s="228"/>
      <c r="I70" s="228"/>
      <c r="J70" s="228"/>
      <c r="K70" s="228"/>
      <c r="L70" s="237"/>
      <c r="M70" s="238"/>
      <c r="N70" s="238"/>
      <c r="P70" s="485">
        <v>9</v>
      </c>
      <c r="Q70" s="487" t="s">
        <v>751</v>
      </c>
      <c r="R70" s="486">
        <f t="shared" si="9"/>
        <v>4</v>
      </c>
      <c r="S70" s="487" t="str">
        <f t="shared" si="7"/>
        <v>94</v>
      </c>
      <c r="T70" s="488">
        <v>4.9619799999999996</v>
      </c>
      <c r="U70" s="488">
        <v>0.18948000000000001</v>
      </c>
      <c r="V70" s="489">
        <v>7.1999999999999995E-2</v>
      </c>
    </row>
    <row r="71" spans="2:22" x14ac:dyDescent="0.4">
      <c r="B71" s="229" t="s">
        <v>291</v>
      </c>
      <c r="C71" s="228"/>
      <c r="D71" s="228"/>
      <c r="E71" s="228">
        <f>E42</f>
        <v>2</v>
      </c>
      <c r="F71" s="228" t="str">
        <f>F42</f>
        <v>Fine</v>
      </c>
      <c r="G71" s="228"/>
      <c r="H71" s="228"/>
      <c r="I71" s="228"/>
      <c r="J71" s="228"/>
      <c r="K71" s="228"/>
      <c r="L71" s="237"/>
      <c r="M71" s="238"/>
      <c r="N71" s="238"/>
      <c r="P71" s="485">
        <v>9</v>
      </c>
      <c r="Q71" s="487" t="s">
        <v>751</v>
      </c>
      <c r="R71" s="486">
        <f t="shared" si="9"/>
        <v>5</v>
      </c>
      <c r="S71" s="487" t="str">
        <f t="shared" si="7"/>
        <v>95</v>
      </c>
      <c r="T71" s="488">
        <v>5.2155699999999996</v>
      </c>
      <c r="U71" s="488">
        <v>0.21756</v>
      </c>
      <c r="V71" s="489">
        <v>7.1999999999999995E-2</v>
      </c>
    </row>
    <row r="72" spans="2:22" x14ac:dyDescent="0.4">
      <c r="B72" s="229" t="s">
        <v>356</v>
      </c>
      <c r="C72" s="228"/>
      <c r="D72" s="228"/>
      <c r="E72" s="278" t="str">
        <f>E66&amp;E71&amp;E67</f>
        <v>122</v>
      </c>
      <c r="F72" s="283" t="str">
        <f>F66&amp;F71&amp;F67</f>
        <v>HighFineLate Dry Season</v>
      </c>
      <c r="G72" s="228"/>
      <c r="H72" s="228"/>
      <c r="I72" s="228"/>
      <c r="J72" s="228"/>
      <c r="K72" s="228"/>
      <c r="L72" s="237"/>
      <c r="M72" s="238"/>
      <c r="N72" s="238"/>
      <c r="P72" s="485">
        <v>9</v>
      </c>
      <c r="Q72" s="487" t="s">
        <v>751</v>
      </c>
      <c r="R72" s="486">
        <f t="shared" si="9"/>
        <v>6</v>
      </c>
      <c r="S72" s="487" t="str">
        <f t="shared" si="7"/>
        <v>96</v>
      </c>
      <c r="T72" s="488">
        <v>8.5515799999999995</v>
      </c>
      <c r="U72" s="488">
        <v>7.22E-2</v>
      </c>
      <c r="V72" s="489">
        <v>7.1999999999999995E-2</v>
      </c>
    </row>
    <row r="73" spans="2:22" x14ac:dyDescent="0.4">
      <c r="B73" s="229" t="s">
        <v>287</v>
      </c>
      <c r="C73" s="228"/>
      <c r="D73" s="228"/>
      <c r="E73" s="230">
        <f>INDEX(U105:U112,MATCH(E72,T105:T112,0))</f>
        <v>0.86040000000000005</v>
      </c>
      <c r="F73" s="228"/>
      <c r="G73" s="228"/>
      <c r="H73" s="228"/>
      <c r="I73" s="228"/>
      <c r="J73" s="228"/>
      <c r="K73" s="228"/>
      <c r="L73" s="237"/>
      <c r="M73" s="238"/>
      <c r="N73" s="238"/>
      <c r="P73" s="485">
        <v>9</v>
      </c>
      <c r="Q73" s="487" t="s">
        <v>751</v>
      </c>
      <c r="R73" s="486">
        <f t="shared" si="9"/>
        <v>7</v>
      </c>
      <c r="S73" s="487" t="str">
        <f t="shared" si="7"/>
        <v>97</v>
      </c>
      <c r="T73" s="488">
        <v>8.1430799999999994</v>
      </c>
      <c r="U73" s="488">
        <v>0.22387000000000001</v>
      </c>
      <c r="V73" s="489">
        <v>7.1999999999999995E-2</v>
      </c>
    </row>
    <row r="74" spans="2:22" x14ac:dyDescent="0.4">
      <c r="B74" s="229" t="s">
        <v>294</v>
      </c>
      <c r="C74" s="228"/>
      <c r="D74" s="228"/>
      <c r="E74" s="228">
        <f>'Data input'!D88</f>
        <v>400</v>
      </c>
      <c r="F74" s="228"/>
      <c r="G74" s="228"/>
      <c r="H74" s="228"/>
      <c r="I74" s="228"/>
      <c r="J74" s="228"/>
      <c r="K74" s="228" t="s">
        <v>20</v>
      </c>
      <c r="L74" s="237"/>
      <c r="M74" s="237"/>
      <c r="N74" s="237"/>
      <c r="P74" s="485">
        <v>9</v>
      </c>
      <c r="Q74" s="487" t="s">
        <v>751</v>
      </c>
      <c r="R74" s="486">
        <f t="shared" si="9"/>
        <v>8</v>
      </c>
      <c r="S74" s="487" t="str">
        <f t="shared" si="7"/>
        <v>98</v>
      </c>
      <c r="T74" s="488">
        <v>7.97898</v>
      </c>
      <c r="U74" s="488">
        <v>0.12031</v>
      </c>
      <c r="V74" s="489">
        <v>7.1999999999999995E-2</v>
      </c>
    </row>
    <row r="75" spans="2:22" x14ac:dyDescent="0.4">
      <c r="B75" s="228"/>
      <c r="C75" s="228"/>
      <c r="D75" s="228"/>
      <c r="E75" s="228"/>
      <c r="F75" s="228"/>
      <c r="G75" s="228"/>
      <c r="H75" s="228"/>
      <c r="I75" s="228"/>
      <c r="J75" s="228"/>
      <c r="K75" s="228"/>
      <c r="L75" s="237"/>
      <c r="M75" s="238"/>
      <c r="N75" s="238"/>
      <c r="P75" s="485">
        <v>9</v>
      </c>
      <c r="Q75" s="487" t="s">
        <v>751</v>
      </c>
      <c r="R75" s="486">
        <f t="shared" si="9"/>
        <v>9</v>
      </c>
      <c r="S75" s="487" t="str">
        <f t="shared" si="7"/>
        <v>99</v>
      </c>
      <c r="T75" s="488">
        <v>7.8505000000000003</v>
      </c>
      <c r="U75" s="488">
        <v>0.12056</v>
      </c>
      <c r="V75" s="489">
        <v>7.1999999999999995E-2</v>
      </c>
    </row>
    <row r="76" spans="2:22" x14ac:dyDescent="0.4">
      <c r="B76" s="229" t="s">
        <v>292</v>
      </c>
      <c r="C76" s="228"/>
      <c r="D76" s="228"/>
      <c r="E76" s="228"/>
      <c r="F76" s="228"/>
      <c r="G76" s="228"/>
      <c r="H76" s="228"/>
      <c r="I76" s="228"/>
      <c r="J76" s="228"/>
      <c r="K76" s="228"/>
      <c r="L76" s="532" t="s">
        <v>761</v>
      </c>
      <c r="M76" s="238" t="s">
        <v>293</v>
      </c>
      <c r="N76" s="238" t="s">
        <v>197</v>
      </c>
      <c r="P76" s="485">
        <v>9</v>
      </c>
      <c r="Q76" s="487" t="s">
        <v>751</v>
      </c>
      <c r="R76" s="486">
        <f t="shared" si="9"/>
        <v>10</v>
      </c>
      <c r="S76" s="487" t="str">
        <f t="shared" si="7"/>
        <v>910</v>
      </c>
      <c r="T76" s="488">
        <v>7.4846199999999996</v>
      </c>
      <c r="U76" s="488">
        <v>0.2044</v>
      </c>
      <c r="V76" s="489">
        <v>7.1999999999999995E-2</v>
      </c>
    </row>
    <row r="77" spans="2:22" x14ac:dyDescent="0.4">
      <c r="B77" s="228"/>
      <c r="C77" s="228"/>
      <c r="D77" s="228"/>
      <c r="E77" s="228"/>
      <c r="F77" s="228"/>
      <c r="G77" s="228"/>
      <c r="H77" s="228"/>
      <c r="I77" s="228"/>
      <c r="J77" s="228"/>
      <c r="K77" s="228"/>
      <c r="L77" s="237"/>
      <c r="M77" s="238"/>
      <c r="N77" s="238"/>
      <c r="P77" s="485">
        <v>10</v>
      </c>
      <c r="Q77" s="487" t="s">
        <v>752</v>
      </c>
      <c r="R77" s="486">
        <f t="shared" ref="R77:R86" si="10">B24</f>
        <v>1</v>
      </c>
      <c r="S77" s="487" t="str">
        <f t="shared" si="7"/>
        <v>101</v>
      </c>
      <c r="T77" s="488">
        <v>5.97818</v>
      </c>
      <c r="U77" s="488">
        <v>5.8880000000000002E-2</v>
      </c>
      <c r="V77" s="489">
        <v>7.1999999999999995E-2</v>
      </c>
    </row>
    <row r="78" spans="2:22" x14ac:dyDescent="0.4">
      <c r="B78" s="229" t="s">
        <v>305</v>
      </c>
      <c r="C78" s="228"/>
      <c r="D78" s="228"/>
      <c r="E78" s="233" t="e">
        <f>E74*E55*E70*E73*10^-3</f>
        <v>#N/A</v>
      </c>
      <c r="F78" s="228"/>
      <c r="G78" s="228"/>
      <c r="H78" s="228"/>
      <c r="I78" s="228"/>
      <c r="J78" s="228"/>
      <c r="K78" s="228" t="s">
        <v>317</v>
      </c>
      <c r="L78" s="237"/>
      <c r="M78" s="238"/>
      <c r="N78" s="238"/>
      <c r="P78" s="485">
        <v>10</v>
      </c>
      <c r="Q78" s="487" t="s">
        <v>752</v>
      </c>
      <c r="R78" s="486">
        <f t="shared" si="10"/>
        <v>2</v>
      </c>
      <c r="S78" s="487" t="str">
        <f t="shared" si="7"/>
        <v>102</v>
      </c>
      <c r="T78" s="488">
        <v>5.4074999999999998</v>
      </c>
      <c r="U78" s="488">
        <v>0.24606</v>
      </c>
      <c r="V78" s="489">
        <v>7.1999999999999995E-2</v>
      </c>
    </row>
    <row r="79" spans="2:22" x14ac:dyDescent="0.4">
      <c r="B79" s="229" t="s">
        <v>306</v>
      </c>
      <c r="C79" s="228"/>
      <c r="D79" s="228"/>
      <c r="E79" s="233" t="e">
        <f>E74*E64*E70*E73*10^-3</f>
        <v>#N/A</v>
      </c>
      <c r="F79" s="228"/>
      <c r="G79" s="228"/>
      <c r="H79" s="228"/>
      <c r="I79" s="228"/>
      <c r="J79" s="228"/>
      <c r="K79" s="228" t="s">
        <v>317</v>
      </c>
      <c r="L79" s="237"/>
      <c r="M79" s="238"/>
      <c r="N79" s="238"/>
      <c r="P79" s="485">
        <v>10</v>
      </c>
      <c r="Q79" s="487" t="s">
        <v>752</v>
      </c>
      <c r="R79" s="486">
        <f t="shared" si="10"/>
        <v>3</v>
      </c>
      <c r="S79" s="487" t="str">
        <f t="shared" si="7"/>
        <v>103</v>
      </c>
      <c r="T79" s="488">
        <v>4.9619799999999996</v>
      </c>
      <c r="U79" s="488">
        <v>0.18948000000000001</v>
      </c>
      <c r="V79" s="489">
        <v>7.1999999999999995E-2</v>
      </c>
    </row>
    <row r="80" spans="2:22" x14ac:dyDescent="0.4">
      <c r="B80" s="228"/>
      <c r="C80" s="228"/>
      <c r="D80" s="228"/>
      <c r="E80" s="228"/>
      <c r="F80" s="228"/>
      <c r="G80" s="228"/>
      <c r="H80" s="228"/>
      <c r="I80" s="228"/>
      <c r="J80" s="228"/>
      <c r="K80" s="228"/>
      <c r="L80" s="237"/>
      <c r="M80" s="238"/>
      <c r="N80" s="238"/>
      <c r="P80" s="485">
        <v>10</v>
      </c>
      <c r="Q80" s="487" t="s">
        <v>752</v>
      </c>
      <c r="R80" s="486">
        <f t="shared" si="10"/>
        <v>4</v>
      </c>
      <c r="S80" s="487" t="str">
        <f t="shared" si="7"/>
        <v>104</v>
      </c>
      <c r="T80" s="488">
        <v>4.9619799999999996</v>
      </c>
      <c r="U80" s="488">
        <v>0.18948000000000001</v>
      </c>
      <c r="V80" s="489">
        <v>7.1999999999999995E-2</v>
      </c>
    </row>
    <row r="81" spans="2:22" ht="19.899999999999999" x14ac:dyDescent="0.5">
      <c r="B81" s="363" t="s">
        <v>295</v>
      </c>
      <c r="C81" s="228"/>
      <c r="D81" s="228"/>
      <c r="E81" s="228"/>
      <c r="F81" s="228"/>
      <c r="G81" s="228"/>
      <c r="H81" s="228"/>
      <c r="I81" s="228"/>
      <c r="J81" s="228"/>
      <c r="K81" s="228"/>
      <c r="L81" s="237"/>
      <c r="M81" s="238"/>
      <c r="N81" s="238"/>
      <c r="P81" s="485">
        <v>10</v>
      </c>
      <c r="Q81" s="487" t="s">
        <v>752</v>
      </c>
      <c r="R81" s="486">
        <f t="shared" si="10"/>
        <v>5</v>
      </c>
      <c r="S81" s="487" t="str">
        <f t="shared" si="7"/>
        <v>105</v>
      </c>
      <c r="T81" s="488">
        <v>5.2155699999999996</v>
      </c>
      <c r="U81" s="488">
        <v>0.21756</v>
      </c>
      <c r="V81" s="489">
        <v>7.1999999999999995E-2</v>
      </c>
    </row>
    <row r="82" spans="2:22" x14ac:dyDescent="0.4">
      <c r="B82" s="228"/>
      <c r="C82" s="228"/>
      <c r="D82" s="228"/>
      <c r="E82" s="228"/>
      <c r="F82" s="228"/>
      <c r="G82" s="228"/>
      <c r="H82" s="228"/>
      <c r="I82" s="228"/>
      <c r="J82" s="228"/>
      <c r="K82" s="228"/>
      <c r="L82" s="237"/>
      <c r="M82" s="238"/>
      <c r="N82" s="238"/>
      <c r="P82" s="485">
        <v>10</v>
      </c>
      <c r="Q82" s="487" t="s">
        <v>752</v>
      </c>
      <c r="R82" s="486">
        <f t="shared" si="10"/>
        <v>6</v>
      </c>
      <c r="S82" s="487" t="str">
        <f t="shared" si="7"/>
        <v>106</v>
      </c>
      <c r="T82" s="488">
        <v>8.5515799999999995</v>
      </c>
      <c r="U82" s="488">
        <v>7.22E-2</v>
      </c>
      <c r="V82" s="489">
        <v>7.1999999999999995E-2</v>
      </c>
    </row>
    <row r="83" spans="2:22" x14ac:dyDescent="0.4">
      <c r="B83" s="229" t="s">
        <v>260</v>
      </c>
      <c r="C83" s="228"/>
      <c r="D83" s="228"/>
      <c r="E83" s="278">
        <f>E39</f>
        <v>3</v>
      </c>
      <c r="F83" s="283" t="str">
        <f>F39</f>
        <v>Melaleuca woodland</v>
      </c>
      <c r="G83" s="228"/>
      <c r="H83" s="228"/>
      <c r="I83" s="228"/>
      <c r="J83" s="228"/>
      <c r="K83" s="228" t="s">
        <v>260</v>
      </c>
      <c r="L83" s="237"/>
      <c r="M83" s="238"/>
      <c r="N83" s="238"/>
      <c r="P83" s="485">
        <v>10</v>
      </c>
      <c r="Q83" s="487" t="s">
        <v>752</v>
      </c>
      <c r="R83" s="486">
        <f t="shared" si="10"/>
        <v>7</v>
      </c>
      <c r="S83" s="487" t="str">
        <f t="shared" si="7"/>
        <v>107</v>
      </c>
      <c r="T83" s="488">
        <v>8.1430799999999994</v>
      </c>
      <c r="U83" s="488">
        <v>0.22387000000000001</v>
      </c>
      <c r="V83" s="489">
        <v>7.1999999999999995E-2</v>
      </c>
    </row>
    <row r="84" spans="2:22" x14ac:dyDescent="0.4">
      <c r="B84" s="229" t="s">
        <v>300</v>
      </c>
      <c r="C84" s="228"/>
      <c r="D84" s="228"/>
      <c r="E84" s="228">
        <f>INDEX(R117:R126,MATCH(E83,P117:P126,0))</f>
        <v>0.46</v>
      </c>
      <c r="F84" s="228"/>
      <c r="G84" s="228"/>
      <c r="H84" s="228"/>
      <c r="I84" s="228"/>
      <c r="J84" s="228"/>
      <c r="K84" s="228"/>
      <c r="L84" s="237"/>
      <c r="M84" s="237"/>
      <c r="N84" s="237"/>
      <c r="P84" s="485">
        <v>10</v>
      </c>
      <c r="Q84" s="487" t="s">
        <v>752</v>
      </c>
      <c r="R84" s="486">
        <f t="shared" si="10"/>
        <v>8</v>
      </c>
      <c r="S84" s="487" t="str">
        <f t="shared" si="7"/>
        <v>108</v>
      </c>
      <c r="T84" s="488">
        <v>7.97898</v>
      </c>
      <c r="U84" s="488">
        <v>0.12031</v>
      </c>
      <c r="V84" s="489">
        <v>7.1999999999999995E-2</v>
      </c>
    </row>
    <row r="85" spans="2:22" x14ac:dyDescent="0.4">
      <c r="B85" s="229" t="s">
        <v>301</v>
      </c>
      <c r="C85" s="228"/>
      <c r="D85" s="228"/>
      <c r="E85" s="228">
        <f>INDEX(S117:S126,MATCH(E83,P117:P126,0))</f>
        <v>0.46</v>
      </c>
      <c r="F85" s="228"/>
      <c r="G85" s="228"/>
      <c r="H85" s="228"/>
      <c r="I85" s="228"/>
      <c r="J85" s="228"/>
      <c r="K85" s="228"/>
      <c r="L85" s="237"/>
      <c r="M85" s="237"/>
      <c r="N85" s="237"/>
      <c r="P85" s="485">
        <v>10</v>
      </c>
      <c r="Q85" s="487" t="s">
        <v>752</v>
      </c>
      <c r="R85" s="486">
        <f t="shared" si="10"/>
        <v>9</v>
      </c>
      <c r="S85" s="487" t="str">
        <f t="shared" si="7"/>
        <v>109</v>
      </c>
      <c r="T85" s="488">
        <v>7.8505000000000003</v>
      </c>
      <c r="U85" s="488">
        <v>0.12056</v>
      </c>
      <c r="V85" s="489">
        <v>7.1999999999999995E-2</v>
      </c>
    </row>
    <row r="86" spans="2:22" x14ac:dyDescent="0.4">
      <c r="B86" s="229" t="s">
        <v>303</v>
      </c>
      <c r="C86" s="228"/>
      <c r="D86" s="228"/>
      <c r="E86" s="228">
        <f>INDEX(R130:R139,MATCH(E83,P130:P139,0))</f>
        <v>3.0999999999999999E-3</v>
      </c>
      <c r="F86" s="228"/>
      <c r="G86" s="228"/>
      <c r="H86" s="228"/>
      <c r="I86" s="228"/>
      <c r="J86" s="228"/>
      <c r="K86" s="228"/>
      <c r="L86" s="237"/>
      <c r="M86" s="237"/>
      <c r="N86" s="237"/>
      <c r="P86" s="490">
        <v>10</v>
      </c>
      <c r="Q86" s="492" t="s">
        <v>752</v>
      </c>
      <c r="R86" s="491">
        <f t="shared" si="10"/>
        <v>10</v>
      </c>
      <c r="S86" s="492" t="str">
        <f t="shared" si="7"/>
        <v>1010</v>
      </c>
      <c r="T86" s="493">
        <v>7.4846199999999996</v>
      </c>
      <c r="U86" s="493">
        <v>0.2044</v>
      </c>
      <c r="V86" s="494">
        <v>7.1999999999999995E-2</v>
      </c>
    </row>
    <row r="87" spans="2:22" x14ac:dyDescent="0.4">
      <c r="B87" s="229" t="s">
        <v>304</v>
      </c>
      <c r="C87" s="228"/>
      <c r="D87" s="228"/>
      <c r="E87" s="228">
        <f>INDEX(S130:S139,MATCH(E83,P130:P139,0))</f>
        <v>3.0999999999999999E-3</v>
      </c>
      <c r="F87" s="228"/>
      <c r="G87" s="228"/>
      <c r="H87" s="228"/>
      <c r="I87" s="228"/>
      <c r="J87" s="228"/>
      <c r="K87" s="228"/>
      <c r="L87" s="237"/>
      <c r="M87" s="237"/>
      <c r="N87" s="237"/>
    </row>
    <row r="88" spans="2:22" x14ac:dyDescent="0.4">
      <c r="B88" s="229" t="s">
        <v>297</v>
      </c>
      <c r="C88" s="228"/>
      <c r="D88" s="228"/>
      <c r="E88" s="230">
        <f>'GWP Factors'!C14</f>
        <v>1.3333333333333333</v>
      </c>
      <c r="F88" s="228"/>
      <c r="G88" s="228"/>
      <c r="H88" s="228"/>
      <c r="I88" s="228"/>
      <c r="J88" s="228"/>
      <c r="K88" s="228"/>
      <c r="L88" s="237"/>
      <c r="M88" s="237"/>
      <c r="N88" s="237"/>
      <c r="P88" s="481" t="s">
        <v>354</v>
      </c>
      <c r="Q88" s="481"/>
    </row>
    <row r="89" spans="2:22" x14ac:dyDescent="0.4">
      <c r="B89" s="228"/>
      <c r="C89" s="228"/>
      <c r="D89" s="228"/>
      <c r="E89" s="228"/>
      <c r="F89" s="228"/>
      <c r="G89" s="228"/>
      <c r="H89" s="228"/>
      <c r="I89" s="228"/>
      <c r="J89" s="228"/>
      <c r="K89" s="228"/>
      <c r="L89" s="237"/>
      <c r="M89" s="237"/>
      <c r="N89" s="237"/>
      <c r="P89" s="495" t="s">
        <v>282</v>
      </c>
      <c r="Q89" s="496"/>
      <c r="R89" s="496"/>
      <c r="S89" s="497" t="s">
        <v>281</v>
      </c>
      <c r="T89" s="496"/>
      <c r="U89" s="498"/>
    </row>
    <row r="90" spans="2:22" x14ac:dyDescent="0.4">
      <c r="B90" s="229" t="s">
        <v>296</v>
      </c>
      <c r="C90" s="228"/>
      <c r="D90" s="228"/>
      <c r="E90" s="228"/>
      <c r="F90" s="228"/>
      <c r="G90" s="228"/>
      <c r="H90" s="228"/>
      <c r="I90" s="228"/>
      <c r="J90" s="228"/>
      <c r="K90" s="228"/>
      <c r="L90" s="237"/>
      <c r="M90" s="237"/>
      <c r="N90" s="237"/>
      <c r="P90" s="485"/>
      <c r="Q90" s="486"/>
      <c r="R90" s="486"/>
      <c r="S90" s="487" t="s">
        <v>30</v>
      </c>
      <c r="T90" s="487" t="s">
        <v>31</v>
      </c>
      <c r="U90" s="499"/>
    </row>
    <row r="91" spans="2:22" x14ac:dyDescent="0.4">
      <c r="B91" s="228"/>
      <c r="C91" s="228"/>
      <c r="D91" s="228"/>
      <c r="E91" s="228"/>
      <c r="F91" s="228"/>
      <c r="G91" s="228"/>
      <c r="H91" s="228"/>
      <c r="I91" s="228"/>
      <c r="J91" s="228"/>
      <c r="K91" s="228"/>
      <c r="L91" s="532" t="s">
        <v>761</v>
      </c>
      <c r="M91" s="238" t="s">
        <v>310</v>
      </c>
      <c r="N91" s="238" t="s">
        <v>197</v>
      </c>
      <c r="P91" s="485"/>
      <c r="Q91" s="486"/>
      <c r="R91" s="487" t="s">
        <v>349</v>
      </c>
      <c r="S91" s="486">
        <v>1</v>
      </c>
      <c r="T91" s="486">
        <v>2</v>
      </c>
      <c r="U91" s="499"/>
    </row>
    <row r="92" spans="2:22" x14ac:dyDescent="0.4">
      <c r="B92" s="228" t="s">
        <v>307</v>
      </c>
      <c r="C92" s="228"/>
      <c r="D92" s="228"/>
      <c r="E92" s="234" t="e">
        <f>E78*E84*E86*E88</f>
        <v>#N/A</v>
      </c>
      <c r="F92" s="228"/>
      <c r="G92" s="228"/>
      <c r="H92" s="228"/>
      <c r="I92" s="228"/>
      <c r="J92" s="228"/>
      <c r="K92" s="228" t="s">
        <v>318</v>
      </c>
      <c r="L92" s="237"/>
      <c r="M92" s="237"/>
      <c r="N92" s="237"/>
      <c r="P92" s="485" t="s">
        <v>345</v>
      </c>
      <c r="Q92" s="486"/>
      <c r="R92" s="486">
        <v>1</v>
      </c>
      <c r="S92" s="486">
        <v>0.70899999999999996</v>
      </c>
      <c r="T92" s="486">
        <v>0.79</v>
      </c>
      <c r="U92" s="499"/>
    </row>
    <row r="93" spans="2:22" x14ac:dyDescent="0.4">
      <c r="B93" s="228" t="s">
        <v>308</v>
      </c>
      <c r="C93" s="228"/>
      <c r="D93" s="228"/>
      <c r="E93" s="234" t="e">
        <f>E79*E85*E87*E88</f>
        <v>#N/A</v>
      </c>
      <c r="F93" s="228"/>
      <c r="G93" s="228"/>
      <c r="H93" s="228"/>
      <c r="I93" s="228"/>
      <c r="J93" s="228"/>
      <c r="K93" s="228" t="s">
        <v>318</v>
      </c>
      <c r="L93" s="237"/>
      <c r="M93" s="237"/>
      <c r="N93" s="237"/>
      <c r="P93" s="485" t="s">
        <v>346</v>
      </c>
      <c r="Q93" s="486"/>
      <c r="R93" s="486">
        <v>2</v>
      </c>
      <c r="S93" s="486">
        <v>0.88900000000000001</v>
      </c>
      <c r="T93" s="486">
        <v>0.97</v>
      </c>
      <c r="U93" s="499"/>
    </row>
    <row r="94" spans="2:22" x14ac:dyDescent="0.4">
      <c r="B94" s="229" t="s">
        <v>309</v>
      </c>
      <c r="C94" s="228"/>
      <c r="D94" s="228"/>
      <c r="E94" s="235" t="e">
        <f>SUM(E92:E93)</f>
        <v>#N/A</v>
      </c>
      <c r="F94" s="228"/>
      <c r="G94" s="228"/>
      <c r="H94" s="228"/>
      <c r="I94" s="228"/>
      <c r="J94" s="228"/>
      <c r="K94" s="228" t="s">
        <v>318</v>
      </c>
      <c r="L94" s="237"/>
      <c r="M94" s="237"/>
      <c r="N94" s="237"/>
      <c r="P94" s="490"/>
      <c r="Q94" s="491"/>
      <c r="R94" s="491"/>
      <c r="S94" s="491"/>
      <c r="T94" s="491"/>
      <c r="U94" s="500"/>
    </row>
    <row r="95" spans="2:22" x14ac:dyDescent="0.4">
      <c r="B95" s="229"/>
      <c r="C95" s="228"/>
      <c r="D95" s="228"/>
      <c r="E95" s="236" t="e">
        <f>E94*'GWP Factors'!C5</f>
        <v>#N/A</v>
      </c>
      <c r="F95" s="228"/>
      <c r="G95" s="228"/>
      <c r="H95" s="228"/>
      <c r="I95" s="228"/>
      <c r="J95" s="228"/>
      <c r="K95" s="228" t="s">
        <v>319</v>
      </c>
      <c r="L95" s="237"/>
      <c r="M95" s="237"/>
      <c r="N95" s="237"/>
      <c r="P95" s="485"/>
      <c r="Q95" s="486"/>
      <c r="R95" s="486"/>
      <c r="S95" s="486"/>
      <c r="T95" s="486"/>
      <c r="U95" s="499"/>
    </row>
    <row r="96" spans="2:22" ht="15" x14ac:dyDescent="0.4">
      <c r="B96" s="229" t="s">
        <v>316</v>
      </c>
      <c r="C96" s="228"/>
      <c r="D96" s="228"/>
      <c r="E96" s="510">
        <f>(IF(ISNA(E95),0,(E95)))*10^3</f>
        <v>0</v>
      </c>
      <c r="F96" s="228"/>
      <c r="G96" s="228"/>
      <c r="H96" s="228"/>
      <c r="I96" s="228"/>
      <c r="J96" s="228"/>
      <c r="K96" s="228" t="s">
        <v>173</v>
      </c>
      <c r="L96" s="237"/>
      <c r="M96" s="237"/>
      <c r="N96" s="237"/>
      <c r="P96" s="482" t="s">
        <v>351</v>
      </c>
      <c r="Q96" s="483"/>
      <c r="R96" s="496"/>
      <c r="S96" s="496"/>
      <c r="T96" s="496"/>
      <c r="U96" s="498"/>
    </row>
    <row r="97" spans="2:22" x14ac:dyDescent="0.4">
      <c r="B97" s="228"/>
      <c r="C97" s="228"/>
      <c r="D97" s="228"/>
      <c r="E97" s="228"/>
      <c r="F97" s="228"/>
      <c r="G97" s="228"/>
      <c r="H97" s="228"/>
      <c r="I97" s="228"/>
      <c r="J97" s="228"/>
      <c r="K97" s="228"/>
      <c r="L97" s="237"/>
      <c r="M97" s="237"/>
      <c r="N97" s="237"/>
      <c r="P97" s="485" t="s">
        <v>283</v>
      </c>
      <c r="Q97" s="486"/>
      <c r="R97" s="486" t="str">
        <f>R92&amp;S91</f>
        <v>11</v>
      </c>
      <c r="S97" s="486">
        <f>S92</f>
        <v>0.70899999999999996</v>
      </c>
      <c r="T97" s="486"/>
      <c r="U97" s="499"/>
    </row>
    <row r="98" spans="2:22" ht="19.899999999999999" x14ac:dyDescent="0.5">
      <c r="B98" s="363" t="s">
        <v>172</v>
      </c>
      <c r="C98" s="228"/>
      <c r="D98" s="228"/>
      <c r="E98" s="228"/>
      <c r="F98" s="228"/>
      <c r="G98" s="228"/>
      <c r="H98" s="228"/>
      <c r="I98" s="228"/>
      <c r="J98" s="228"/>
      <c r="K98" s="228"/>
      <c r="L98" s="237"/>
      <c r="M98" s="237"/>
      <c r="N98" s="237"/>
      <c r="P98" s="485" t="s">
        <v>284</v>
      </c>
      <c r="Q98" s="486"/>
      <c r="R98" s="486" t="str">
        <f>R93&amp;S91</f>
        <v>21</v>
      </c>
      <c r="S98" s="486">
        <f>S93</f>
        <v>0.88900000000000001</v>
      </c>
      <c r="T98" s="486"/>
      <c r="U98" s="499"/>
    </row>
    <row r="99" spans="2:22" x14ac:dyDescent="0.4">
      <c r="B99" s="228"/>
      <c r="C99" s="228"/>
      <c r="D99" s="228"/>
      <c r="E99" s="228"/>
      <c r="F99" s="228"/>
      <c r="G99" s="228"/>
      <c r="H99" s="228"/>
      <c r="I99" s="228"/>
      <c r="J99" s="228"/>
      <c r="K99" s="228"/>
      <c r="L99" s="237"/>
      <c r="M99" s="237"/>
      <c r="N99" s="237"/>
      <c r="P99" s="485" t="s">
        <v>285</v>
      </c>
      <c r="Q99" s="486"/>
      <c r="R99" s="486" t="str">
        <f>R92&amp;T91</f>
        <v>12</v>
      </c>
      <c r="S99" s="486">
        <f>T92</f>
        <v>0.79</v>
      </c>
      <c r="T99" s="486"/>
      <c r="U99" s="499"/>
    </row>
    <row r="100" spans="2:22" x14ac:dyDescent="0.4">
      <c r="B100" s="229" t="s">
        <v>358</v>
      </c>
      <c r="C100" s="228"/>
      <c r="D100" s="228"/>
      <c r="E100" s="228">
        <f>E39</f>
        <v>3</v>
      </c>
      <c r="F100" s="283" t="str">
        <f>F39</f>
        <v>Melaleuca woodland</v>
      </c>
      <c r="G100" s="228"/>
      <c r="H100" s="228"/>
      <c r="I100" s="228"/>
      <c r="J100" s="228"/>
      <c r="K100" s="228" t="s">
        <v>260</v>
      </c>
      <c r="L100" s="237"/>
      <c r="M100" s="237"/>
      <c r="N100" s="237"/>
      <c r="P100" s="485" t="s">
        <v>286</v>
      </c>
      <c r="Q100" s="486"/>
      <c r="R100" s="486" t="str">
        <f>R93&amp;T91</f>
        <v>22</v>
      </c>
      <c r="S100" s="486">
        <f>T93</f>
        <v>0.97</v>
      </c>
      <c r="T100" s="486"/>
      <c r="U100" s="499"/>
    </row>
    <row r="101" spans="2:22" x14ac:dyDescent="0.4">
      <c r="B101" s="229" t="s">
        <v>765</v>
      </c>
      <c r="C101" s="228"/>
      <c r="D101" s="228"/>
      <c r="E101" s="228">
        <f>INDEX(R143:R152,MATCH(E100,P143:P152,0))</f>
        <v>9.5999999999999992E-3</v>
      </c>
      <c r="F101" s="228"/>
      <c r="G101" s="228"/>
      <c r="H101" s="228"/>
      <c r="I101" s="228"/>
      <c r="J101" s="228"/>
      <c r="K101" s="228"/>
      <c r="L101" s="237"/>
      <c r="M101" s="237"/>
      <c r="N101" s="237"/>
      <c r="P101" s="490"/>
      <c r="Q101" s="491"/>
      <c r="R101" s="491"/>
      <c r="S101" s="491"/>
      <c r="T101" s="491"/>
      <c r="U101" s="500"/>
    </row>
    <row r="102" spans="2:22" x14ac:dyDescent="0.4">
      <c r="B102" s="229" t="s">
        <v>767</v>
      </c>
      <c r="C102" s="228"/>
      <c r="D102" s="228"/>
      <c r="E102" s="228">
        <f>INDEX(S143:S152,MATCH(E100,P143:P152,0))</f>
        <v>8.0999999999999996E-3</v>
      </c>
      <c r="F102" s="228"/>
      <c r="G102" s="228"/>
      <c r="H102" s="228"/>
      <c r="I102" s="228"/>
      <c r="J102" s="228"/>
      <c r="K102" s="228"/>
      <c r="L102" s="237"/>
      <c r="M102" s="237"/>
      <c r="N102" s="237"/>
    </row>
    <row r="103" spans="2:22" x14ac:dyDescent="0.4">
      <c r="B103" s="229" t="s">
        <v>766</v>
      </c>
      <c r="C103" s="228"/>
      <c r="D103" s="228"/>
      <c r="E103" s="228">
        <f>INDEX(R156:R165,MATCH(E100,P156:P165,0))</f>
        <v>7.4999999999999997E-3</v>
      </c>
      <c r="F103" s="228"/>
      <c r="G103" s="228"/>
      <c r="H103" s="228"/>
      <c r="I103" s="228"/>
      <c r="J103" s="228"/>
      <c r="K103" s="228"/>
      <c r="L103" s="237"/>
      <c r="M103" s="237"/>
      <c r="N103" s="237"/>
      <c r="P103" s="481" t="s">
        <v>290</v>
      </c>
      <c r="Q103" s="481"/>
    </row>
    <row r="104" spans="2:22" x14ac:dyDescent="0.4">
      <c r="B104" s="229" t="s">
        <v>768</v>
      </c>
      <c r="C104" s="228"/>
      <c r="D104" s="228"/>
      <c r="E104" s="228">
        <f>INDEX(S156:S165,MATCH(E100,P156:P165,0))</f>
        <v>7.4999999999999997E-3</v>
      </c>
      <c r="F104" s="228"/>
      <c r="G104" s="228"/>
      <c r="H104" s="228"/>
      <c r="I104" s="228"/>
      <c r="J104" s="228"/>
      <c r="K104" s="228"/>
      <c r="L104" s="237"/>
      <c r="M104" s="237"/>
      <c r="N104" s="237"/>
      <c r="P104" s="482" t="s">
        <v>261</v>
      </c>
      <c r="Q104" s="483"/>
      <c r="R104" s="483" t="s">
        <v>291</v>
      </c>
      <c r="S104" s="483" t="s">
        <v>282</v>
      </c>
      <c r="T104" s="483" t="s">
        <v>264</v>
      </c>
      <c r="U104" s="483" t="s">
        <v>287</v>
      </c>
      <c r="V104" s="484"/>
    </row>
    <row r="105" spans="2:22" x14ac:dyDescent="0.4">
      <c r="B105" s="229" t="s">
        <v>769</v>
      </c>
      <c r="C105" s="228"/>
      <c r="D105" s="228"/>
      <c r="E105" s="230">
        <f>'GWP Factors'!C15</f>
        <v>1.5714285714285714</v>
      </c>
      <c r="F105" s="228"/>
      <c r="G105" s="228"/>
      <c r="H105" s="228"/>
      <c r="I105" s="228"/>
      <c r="J105" s="228"/>
      <c r="K105" s="228"/>
      <c r="L105" s="237"/>
      <c r="M105" s="237"/>
      <c r="N105" s="237"/>
      <c r="P105" s="485">
        <f>B4</f>
        <v>1</v>
      </c>
      <c r="Q105" s="486"/>
      <c r="R105" s="487">
        <f>F5</f>
        <v>2</v>
      </c>
      <c r="S105" s="486">
        <f>D4</f>
        <v>1</v>
      </c>
      <c r="T105" s="487" t="str">
        <f>P105&amp;R105&amp;S105</f>
        <v>121</v>
      </c>
      <c r="U105" s="486">
        <v>0.74439999999999995</v>
      </c>
      <c r="V105" s="499"/>
    </row>
    <row r="106" spans="2:22" x14ac:dyDescent="0.4">
      <c r="B106" s="228"/>
      <c r="C106" s="228"/>
      <c r="D106" s="228"/>
      <c r="E106" s="228"/>
      <c r="F106" s="228"/>
      <c r="G106" s="228"/>
      <c r="H106" s="228"/>
      <c r="I106" s="228"/>
      <c r="J106" s="228"/>
      <c r="K106" s="228"/>
      <c r="L106" s="237"/>
      <c r="M106" s="237"/>
      <c r="N106" s="237"/>
      <c r="P106" s="485">
        <f>B4</f>
        <v>1</v>
      </c>
      <c r="Q106" s="486"/>
      <c r="R106" s="487">
        <f>F4</f>
        <v>1</v>
      </c>
      <c r="S106" s="486">
        <f>D4</f>
        <v>1</v>
      </c>
      <c r="T106" s="487" t="str">
        <f>P106&amp;R106&amp;S106</f>
        <v>111</v>
      </c>
      <c r="U106" s="486">
        <v>0.1464</v>
      </c>
      <c r="V106" s="499"/>
    </row>
    <row r="107" spans="2:22" x14ac:dyDescent="0.4">
      <c r="B107" s="229" t="s">
        <v>313</v>
      </c>
      <c r="C107" s="228"/>
      <c r="D107" s="228"/>
      <c r="E107" s="228"/>
      <c r="F107" s="228"/>
      <c r="G107" s="228"/>
      <c r="H107" s="228"/>
      <c r="I107" s="228"/>
      <c r="J107" s="228"/>
      <c r="K107" s="228"/>
      <c r="L107" s="237"/>
      <c r="M107" s="237"/>
      <c r="N107" s="237"/>
      <c r="P107" s="485">
        <f>B4</f>
        <v>1</v>
      </c>
      <c r="Q107" s="486"/>
      <c r="R107" s="487">
        <f>F5</f>
        <v>2</v>
      </c>
      <c r="S107" s="486">
        <f>D5</f>
        <v>2</v>
      </c>
      <c r="T107" s="487" t="str">
        <f>P107&amp;R107&amp;S107</f>
        <v>122</v>
      </c>
      <c r="U107" s="486">
        <v>0.86040000000000005</v>
      </c>
      <c r="V107" s="499"/>
    </row>
    <row r="108" spans="2:22" x14ac:dyDescent="0.4">
      <c r="B108" s="228"/>
      <c r="C108" s="228"/>
      <c r="D108" s="228"/>
      <c r="E108" s="228"/>
      <c r="F108" s="228"/>
      <c r="G108" s="228"/>
      <c r="H108" s="228"/>
      <c r="I108" s="228"/>
      <c r="J108" s="228"/>
      <c r="K108" s="228"/>
      <c r="L108" s="532" t="s">
        <v>761</v>
      </c>
      <c r="M108" s="238" t="s">
        <v>314</v>
      </c>
      <c r="N108" s="238" t="s">
        <v>197</v>
      </c>
      <c r="P108" s="485">
        <f>B4</f>
        <v>1</v>
      </c>
      <c r="Q108" s="486"/>
      <c r="R108" s="487">
        <f>F4</f>
        <v>1</v>
      </c>
      <c r="S108" s="486">
        <f>D5</f>
        <v>2</v>
      </c>
      <c r="T108" s="487" t="str">
        <f t="shared" ref="T108:T112" si="11">P108&amp;R108&amp;S108</f>
        <v>112</v>
      </c>
      <c r="U108" s="486">
        <v>0.35709999999999997</v>
      </c>
      <c r="V108" s="499"/>
    </row>
    <row r="109" spans="2:22" x14ac:dyDescent="0.4">
      <c r="B109" s="228" t="s">
        <v>307</v>
      </c>
      <c r="C109" s="228"/>
      <c r="D109" s="228"/>
      <c r="E109" s="231" t="e">
        <f>E78*E84*E101*E103*E105</f>
        <v>#N/A</v>
      </c>
      <c r="F109" s="228"/>
      <c r="G109" s="228"/>
      <c r="H109" s="228"/>
      <c r="I109" s="228"/>
      <c r="J109" s="228"/>
      <c r="K109" s="228" t="s">
        <v>320</v>
      </c>
      <c r="L109" s="237"/>
      <c r="M109" s="237"/>
      <c r="N109" s="237"/>
      <c r="P109" s="485">
        <f>B5</f>
        <v>2</v>
      </c>
      <c r="Q109" s="486"/>
      <c r="R109" s="487">
        <f>F5</f>
        <v>2</v>
      </c>
      <c r="S109" s="486">
        <f>D4</f>
        <v>1</v>
      </c>
      <c r="T109" s="487" t="str">
        <f t="shared" si="11"/>
        <v>221</v>
      </c>
      <c r="U109" s="486">
        <v>0.79920000000000002</v>
      </c>
      <c r="V109" s="499"/>
    </row>
    <row r="110" spans="2:22" x14ac:dyDescent="0.4">
      <c r="B110" s="228" t="s">
        <v>308</v>
      </c>
      <c r="C110" s="228"/>
      <c r="D110" s="228"/>
      <c r="E110" s="231" t="e">
        <f>E79*E85*E102*E104*E105</f>
        <v>#N/A</v>
      </c>
      <c r="F110" s="228"/>
      <c r="G110" s="228"/>
      <c r="H110" s="228"/>
      <c r="I110" s="228"/>
      <c r="J110" s="228"/>
      <c r="K110" s="228" t="s">
        <v>320</v>
      </c>
      <c r="L110" s="237"/>
      <c r="M110" s="237"/>
      <c r="N110" s="237"/>
      <c r="P110" s="485">
        <f>B5</f>
        <v>2</v>
      </c>
      <c r="Q110" s="486"/>
      <c r="R110" s="487">
        <f>F4</f>
        <v>1</v>
      </c>
      <c r="S110" s="486">
        <f>D4</f>
        <v>1</v>
      </c>
      <c r="T110" s="487" t="str">
        <f t="shared" si="11"/>
        <v>211</v>
      </c>
      <c r="U110" s="486">
        <v>0.109</v>
      </c>
      <c r="V110" s="499"/>
    </row>
    <row r="111" spans="2:22" x14ac:dyDescent="0.4">
      <c r="B111" s="229" t="s">
        <v>315</v>
      </c>
      <c r="C111" s="228"/>
      <c r="D111" s="228"/>
      <c r="E111" s="236" t="e">
        <f>SUM(E109:E110)</f>
        <v>#N/A</v>
      </c>
      <c r="F111" s="228"/>
      <c r="G111" s="228"/>
      <c r="H111" s="228"/>
      <c r="I111" s="228"/>
      <c r="J111" s="228"/>
      <c r="K111" s="228" t="s">
        <v>320</v>
      </c>
      <c r="L111" s="237"/>
      <c r="M111" s="237"/>
      <c r="N111" s="237"/>
      <c r="P111" s="485">
        <f>B5</f>
        <v>2</v>
      </c>
      <c r="Q111" s="486"/>
      <c r="R111" s="487">
        <f>F5</f>
        <v>2</v>
      </c>
      <c r="S111" s="486">
        <f>D5</f>
        <v>2</v>
      </c>
      <c r="T111" s="487" t="str">
        <f t="shared" si="11"/>
        <v>222</v>
      </c>
      <c r="U111" s="486">
        <v>0.83279999999999998</v>
      </c>
      <c r="V111" s="499"/>
    </row>
    <row r="112" spans="2:22" x14ac:dyDescent="0.4">
      <c r="B112" s="229"/>
      <c r="C112" s="228"/>
      <c r="D112" s="228"/>
      <c r="E112" s="236" t="e">
        <f>E111*310</f>
        <v>#N/A</v>
      </c>
      <c r="F112" s="228"/>
      <c r="G112" s="228"/>
      <c r="H112" s="228"/>
      <c r="I112" s="228"/>
      <c r="J112" s="228"/>
      <c r="K112" s="228" t="s">
        <v>319</v>
      </c>
      <c r="L112" s="237"/>
      <c r="M112" s="237"/>
      <c r="N112" s="237"/>
      <c r="P112" s="490">
        <f>B5</f>
        <v>2</v>
      </c>
      <c r="Q112" s="491"/>
      <c r="R112" s="492">
        <f>F4</f>
        <v>1</v>
      </c>
      <c r="S112" s="491">
        <f>D5</f>
        <v>2</v>
      </c>
      <c r="T112" s="492" t="str">
        <f t="shared" si="11"/>
        <v>212</v>
      </c>
      <c r="U112" s="491">
        <v>0.2016</v>
      </c>
      <c r="V112" s="500"/>
    </row>
    <row r="113" spans="2:19" ht="15" x14ac:dyDescent="0.4">
      <c r="B113" s="229" t="s">
        <v>316</v>
      </c>
      <c r="C113" s="228"/>
      <c r="D113" s="228"/>
      <c r="E113" s="510">
        <f>(IF(ISNA(E112),0,(E112)))*10^3</f>
        <v>0</v>
      </c>
      <c r="F113" s="228"/>
      <c r="G113" s="228"/>
      <c r="H113" s="228"/>
      <c r="I113" s="228"/>
      <c r="J113" s="228"/>
      <c r="K113" s="228" t="s">
        <v>173</v>
      </c>
      <c r="L113" s="237"/>
      <c r="M113" s="237"/>
      <c r="N113" s="237"/>
    </row>
    <row r="114" spans="2:19" x14ac:dyDescent="0.4">
      <c r="P114" s="481" t="s">
        <v>299</v>
      </c>
      <c r="Q114" s="481"/>
    </row>
    <row r="115" spans="2:19" x14ac:dyDescent="0.4">
      <c r="P115" s="495" t="s">
        <v>353</v>
      </c>
      <c r="Q115" s="496"/>
      <c r="R115" s="496" t="s">
        <v>298</v>
      </c>
      <c r="S115" s="498"/>
    </row>
    <row r="116" spans="2:19" x14ac:dyDescent="0.4">
      <c r="P116" s="485"/>
      <c r="Q116" s="486"/>
      <c r="R116" s="486" t="s">
        <v>288</v>
      </c>
      <c r="S116" s="499" t="s">
        <v>289</v>
      </c>
    </row>
    <row r="117" spans="2:19" ht="15.4" x14ac:dyDescent="0.45">
      <c r="K117" s="501"/>
      <c r="P117" s="485">
        <f t="shared" ref="P117:P126" si="12">B24</f>
        <v>1</v>
      </c>
      <c r="Q117" s="486"/>
      <c r="R117" s="486">
        <v>0.46</v>
      </c>
      <c r="S117" s="499">
        <v>0.46</v>
      </c>
    </row>
    <row r="118" spans="2:19" ht="15.4" x14ac:dyDescent="0.45">
      <c r="K118" s="365"/>
      <c r="L118" s="365"/>
      <c r="P118" s="485">
        <f t="shared" si="12"/>
        <v>2</v>
      </c>
      <c r="Q118" s="486"/>
      <c r="R118" s="486">
        <v>0.46</v>
      </c>
      <c r="S118" s="499">
        <v>0.46</v>
      </c>
    </row>
    <row r="119" spans="2:19" ht="15.4" x14ac:dyDescent="0.45">
      <c r="K119" s="365"/>
      <c r="L119" s="501"/>
      <c r="P119" s="485">
        <f t="shared" si="12"/>
        <v>3</v>
      </c>
      <c r="Q119" s="486"/>
      <c r="R119" s="486">
        <v>0.46</v>
      </c>
      <c r="S119" s="499">
        <v>0.46</v>
      </c>
    </row>
    <row r="120" spans="2:19" ht="15.4" x14ac:dyDescent="0.45">
      <c r="K120" s="365"/>
      <c r="L120" s="365"/>
      <c r="P120" s="485">
        <f t="shared" si="12"/>
        <v>4</v>
      </c>
      <c r="Q120" s="486"/>
      <c r="R120" s="486">
        <v>0.46</v>
      </c>
      <c r="S120" s="499">
        <v>0.46</v>
      </c>
    </row>
    <row r="121" spans="2:19" ht="15.4" x14ac:dyDescent="0.45">
      <c r="K121" s="365"/>
      <c r="L121" s="365"/>
      <c r="P121" s="485">
        <f t="shared" si="12"/>
        <v>5</v>
      </c>
      <c r="Q121" s="486"/>
      <c r="R121" s="486">
        <v>0.46</v>
      </c>
      <c r="S121" s="499">
        <v>0.46</v>
      </c>
    </row>
    <row r="122" spans="2:19" ht="15.4" x14ac:dyDescent="0.45">
      <c r="K122" s="365"/>
      <c r="L122" s="365"/>
      <c r="P122" s="485">
        <f t="shared" si="12"/>
        <v>6</v>
      </c>
      <c r="Q122" s="486"/>
      <c r="R122" s="486">
        <v>0.39800000000000002</v>
      </c>
      <c r="S122" s="499">
        <v>0.48199999999999998</v>
      </c>
    </row>
    <row r="123" spans="2:19" ht="15.4" x14ac:dyDescent="0.45">
      <c r="K123" s="502"/>
      <c r="L123" s="365"/>
      <c r="P123" s="485">
        <f t="shared" si="12"/>
        <v>7</v>
      </c>
      <c r="Q123" s="486"/>
      <c r="R123" s="486">
        <v>0.39700000000000002</v>
      </c>
      <c r="S123" s="499">
        <v>0.48199999999999998</v>
      </c>
    </row>
    <row r="124" spans="2:19" ht="15.4" x14ac:dyDescent="0.45">
      <c r="K124" s="502"/>
      <c r="L124" s="365"/>
      <c r="P124" s="485">
        <f t="shared" si="12"/>
        <v>8</v>
      </c>
      <c r="Q124" s="486"/>
      <c r="R124" s="486">
        <v>0.39900000000000002</v>
      </c>
      <c r="S124" s="499">
        <v>0.48199999999999998</v>
      </c>
    </row>
    <row r="125" spans="2:19" ht="15.4" x14ac:dyDescent="0.45">
      <c r="K125" s="365"/>
      <c r="L125" s="365"/>
      <c r="P125" s="485">
        <f t="shared" si="12"/>
        <v>9</v>
      </c>
      <c r="Q125" s="486"/>
      <c r="R125" s="486">
        <v>0.41</v>
      </c>
      <c r="S125" s="499">
        <v>0.48199999999999998</v>
      </c>
    </row>
    <row r="126" spans="2:19" ht="15.4" x14ac:dyDescent="0.45">
      <c r="K126" s="365"/>
      <c r="L126" s="365"/>
      <c r="P126" s="490">
        <f t="shared" si="12"/>
        <v>10</v>
      </c>
      <c r="Q126" s="491"/>
      <c r="R126" s="491">
        <v>0.39700000000000002</v>
      </c>
      <c r="S126" s="500">
        <v>0.48199999999999998</v>
      </c>
    </row>
    <row r="127" spans="2:19" ht="15.4" x14ac:dyDescent="0.45">
      <c r="K127" s="365"/>
      <c r="L127" s="365"/>
    </row>
    <row r="128" spans="2:19" ht="15.4" x14ac:dyDescent="0.45">
      <c r="K128" s="365"/>
      <c r="L128" s="365"/>
      <c r="P128" s="481" t="s">
        <v>302</v>
      </c>
      <c r="Q128" s="481"/>
    </row>
    <row r="129" spans="11:19" ht="15.4" x14ac:dyDescent="0.45">
      <c r="K129" s="365"/>
      <c r="L129" s="365"/>
      <c r="P129" s="495" t="s">
        <v>353</v>
      </c>
      <c r="Q129" s="496"/>
      <c r="R129" s="496" t="s">
        <v>288</v>
      </c>
      <c r="S129" s="498" t="s">
        <v>289</v>
      </c>
    </row>
    <row r="130" spans="11:19" ht="15.4" x14ac:dyDescent="0.45">
      <c r="K130" s="365"/>
      <c r="L130" s="365"/>
      <c r="P130" s="485">
        <f t="shared" ref="P130:P139" si="13">B24</f>
        <v>1</v>
      </c>
      <c r="Q130" s="486"/>
      <c r="R130" s="486">
        <v>3.0999999999999999E-3</v>
      </c>
      <c r="S130" s="499">
        <v>3.0999999999999999E-3</v>
      </c>
    </row>
    <row r="131" spans="11:19" ht="15.4" x14ac:dyDescent="0.45">
      <c r="K131" s="365"/>
      <c r="L131" s="365"/>
      <c r="P131" s="485">
        <f t="shared" si="13"/>
        <v>2</v>
      </c>
      <c r="Q131" s="486"/>
      <c r="R131" s="486">
        <v>1.5E-3</v>
      </c>
      <c r="S131" s="499">
        <v>1.5E-3</v>
      </c>
    </row>
    <row r="132" spans="11:19" ht="15.4" x14ac:dyDescent="0.45">
      <c r="K132" s="365"/>
      <c r="L132" s="365"/>
      <c r="P132" s="485">
        <f t="shared" si="13"/>
        <v>3</v>
      </c>
      <c r="Q132" s="486"/>
      <c r="R132" s="486">
        <v>3.0999999999999999E-3</v>
      </c>
      <c r="S132" s="499">
        <v>3.0999999999999999E-3</v>
      </c>
    </row>
    <row r="133" spans="11:19" ht="15.4" x14ac:dyDescent="0.45">
      <c r="K133" s="365"/>
      <c r="L133" s="365"/>
      <c r="P133" s="485">
        <f t="shared" si="13"/>
        <v>4</v>
      </c>
      <c r="Q133" s="486"/>
      <c r="R133" s="486">
        <v>3.0999999999999999E-3</v>
      </c>
      <c r="S133" s="499">
        <v>3.0999999999999999E-3</v>
      </c>
    </row>
    <row r="134" spans="11:19" ht="15.4" x14ac:dyDescent="0.45">
      <c r="K134" s="365"/>
      <c r="L134" s="365"/>
      <c r="P134" s="485">
        <f t="shared" si="13"/>
        <v>5</v>
      </c>
      <c r="Q134" s="486"/>
      <c r="R134" s="486">
        <v>3.0999999999999999E-3</v>
      </c>
      <c r="S134" s="499">
        <v>3.0999999999999999E-3</v>
      </c>
    </row>
    <row r="135" spans="11:19" ht="15.4" x14ac:dyDescent="0.45">
      <c r="K135" s="365"/>
      <c r="L135" s="365"/>
      <c r="P135" s="485">
        <f t="shared" si="13"/>
        <v>6</v>
      </c>
      <c r="Q135" s="486"/>
      <c r="R135" s="486">
        <v>1.2999999999999999E-3</v>
      </c>
      <c r="S135" s="499">
        <v>1.2999999999999999E-3</v>
      </c>
    </row>
    <row r="136" spans="11:19" ht="15.4" x14ac:dyDescent="0.45">
      <c r="K136" s="365"/>
      <c r="L136" s="365"/>
      <c r="P136" s="485">
        <f t="shared" si="13"/>
        <v>7</v>
      </c>
      <c r="Q136" s="486"/>
      <c r="R136" s="486">
        <v>1.6999999999999999E-3</v>
      </c>
      <c r="S136" s="499">
        <v>1.6999999999999999E-3</v>
      </c>
    </row>
    <row r="137" spans="11:19" ht="15.4" x14ac:dyDescent="0.45">
      <c r="K137" s="365"/>
      <c r="L137" s="365"/>
      <c r="P137" s="485">
        <f t="shared" si="13"/>
        <v>8</v>
      </c>
      <c r="Q137" s="486"/>
      <c r="R137" s="486">
        <v>1.1999999999999999E-3</v>
      </c>
      <c r="S137" s="499">
        <v>1.1999999999999999E-3</v>
      </c>
    </row>
    <row r="138" spans="11:19" ht="15.4" x14ac:dyDescent="0.45">
      <c r="K138" s="365"/>
      <c r="L138" s="365"/>
      <c r="P138" s="485">
        <f t="shared" si="13"/>
        <v>9</v>
      </c>
      <c r="Q138" s="486"/>
      <c r="R138" s="486">
        <v>1.6000000000000001E-3</v>
      </c>
      <c r="S138" s="499">
        <v>1.6000000000000001E-3</v>
      </c>
    </row>
    <row r="139" spans="11:19" ht="15.4" x14ac:dyDescent="0.45">
      <c r="K139" s="365"/>
      <c r="L139" s="365"/>
      <c r="P139" s="490">
        <f t="shared" si="13"/>
        <v>10</v>
      </c>
      <c r="Q139" s="491"/>
      <c r="R139" s="491">
        <v>1.5E-3</v>
      </c>
      <c r="S139" s="500">
        <v>1.5E-3</v>
      </c>
    </row>
    <row r="140" spans="11:19" ht="15.4" x14ac:dyDescent="0.45">
      <c r="K140" s="365"/>
      <c r="L140" s="365"/>
    </row>
    <row r="141" spans="11:19" ht="15.4" x14ac:dyDescent="0.45">
      <c r="K141" s="365"/>
      <c r="L141" s="365"/>
      <c r="P141" s="480" t="s">
        <v>312</v>
      </c>
    </row>
    <row r="142" spans="11:19" ht="15.4" x14ac:dyDescent="0.45">
      <c r="K142" s="365"/>
      <c r="L142" s="365"/>
      <c r="P142" s="495" t="s">
        <v>357</v>
      </c>
      <c r="Q142" s="496"/>
      <c r="R142" s="496" t="s">
        <v>288</v>
      </c>
      <c r="S142" s="498" t="s">
        <v>289</v>
      </c>
    </row>
    <row r="143" spans="11:19" ht="15.4" x14ac:dyDescent="0.45">
      <c r="K143" s="365"/>
      <c r="L143" s="365"/>
      <c r="P143" s="485">
        <f>B24</f>
        <v>1</v>
      </c>
      <c r="Q143" s="486"/>
      <c r="R143" s="486">
        <v>9.5999999999999992E-3</v>
      </c>
      <c r="S143" s="499">
        <v>8.0999999999999996E-3</v>
      </c>
    </row>
    <row r="144" spans="11:19" ht="15.4" x14ac:dyDescent="0.45">
      <c r="L144" s="365"/>
      <c r="P144" s="485">
        <f t="shared" ref="P144:P152" si="14">B25</f>
        <v>2</v>
      </c>
      <c r="Q144" s="486"/>
      <c r="R144" s="486">
        <v>9.5999999999999992E-3</v>
      </c>
      <c r="S144" s="499">
        <v>8.0999999999999996E-3</v>
      </c>
    </row>
    <row r="145" spans="16:19" x14ac:dyDescent="0.4">
      <c r="P145" s="485">
        <f t="shared" si="14"/>
        <v>3</v>
      </c>
      <c r="Q145" s="486"/>
      <c r="R145" s="486">
        <v>9.5999999999999992E-3</v>
      </c>
      <c r="S145" s="499">
        <v>8.0999999999999996E-3</v>
      </c>
    </row>
    <row r="146" spans="16:19" x14ac:dyDescent="0.4">
      <c r="P146" s="485">
        <f t="shared" si="14"/>
        <v>4</v>
      </c>
      <c r="Q146" s="486"/>
      <c r="R146" s="486">
        <v>9.5999999999999992E-3</v>
      </c>
      <c r="S146" s="499">
        <v>8.0999999999999996E-3</v>
      </c>
    </row>
    <row r="147" spans="16:19" x14ac:dyDescent="0.4">
      <c r="P147" s="485">
        <f t="shared" si="14"/>
        <v>5</v>
      </c>
      <c r="Q147" s="486"/>
      <c r="R147" s="486">
        <v>9.5999999999999992E-3</v>
      </c>
      <c r="S147" s="499">
        <v>8.0999999999999996E-3</v>
      </c>
    </row>
    <row r="148" spans="16:19" x14ac:dyDescent="0.4">
      <c r="P148" s="485">
        <f t="shared" si="14"/>
        <v>6</v>
      </c>
      <c r="Q148" s="486"/>
      <c r="R148" s="486">
        <v>1.0699999999999999E-2</v>
      </c>
      <c r="S148" s="499">
        <v>3.8899999999999998E-3</v>
      </c>
    </row>
    <row r="149" spans="16:19" x14ac:dyDescent="0.4">
      <c r="P149" s="485">
        <f t="shared" si="14"/>
        <v>7</v>
      </c>
      <c r="Q149" s="486"/>
      <c r="R149" s="486">
        <v>1.18E-2</v>
      </c>
      <c r="S149" s="499">
        <v>3.8899999999999998E-3</v>
      </c>
    </row>
    <row r="150" spans="16:19" x14ac:dyDescent="0.4">
      <c r="P150" s="485">
        <f t="shared" si="14"/>
        <v>8</v>
      </c>
      <c r="Q150" s="486"/>
      <c r="R150" s="486">
        <v>1.0200000000000001E-2</v>
      </c>
      <c r="S150" s="499">
        <v>3.8899999999999998E-3</v>
      </c>
    </row>
    <row r="151" spans="16:19" x14ac:dyDescent="0.4">
      <c r="P151" s="485">
        <f t="shared" si="14"/>
        <v>9</v>
      </c>
      <c r="Q151" s="486"/>
      <c r="R151" s="486">
        <v>1.0500000000000001E-2</v>
      </c>
      <c r="S151" s="499">
        <v>3.8899999999999998E-3</v>
      </c>
    </row>
    <row r="152" spans="16:19" x14ac:dyDescent="0.4">
      <c r="P152" s="490">
        <f t="shared" si="14"/>
        <v>10</v>
      </c>
      <c r="Q152" s="491"/>
      <c r="R152" s="491">
        <v>1.1299999999999999E-2</v>
      </c>
      <c r="S152" s="500">
        <v>3.8899999999999998E-3</v>
      </c>
    </row>
    <row r="154" spans="16:19" x14ac:dyDescent="0.4">
      <c r="P154" s="480" t="s">
        <v>311</v>
      </c>
    </row>
    <row r="155" spans="16:19" x14ac:dyDescent="0.4">
      <c r="P155" s="495" t="s">
        <v>353</v>
      </c>
      <c r="Q155" s="496"/>
      <c r="R155" s="496" t="s">
        <v>288</v>
      </c>
      <c r="S155" s="498" t="s">
        <v>289</v>
      </c>
    </row>
    <row r="156" spans="16:19" x14ac:dyDescent="0.4">
      <c r="P156" s="485">
        <f>B24</f>
        <v>1</v>
      </c>
      <c r="Q156" s="486"/>
      <c r="R156" s="486">
        <v>7.4999999999999997E-3</v>
      </c>
      <c r="S156" s="499">
        <v>7.4999999999999997E-3</v>
      </c>
    </row>
    <row r="157" spans="16:19" x14ac:dyDescent="0.4">
      <c r="P157" s="485">
        <f t="shared" ref="P157:P165" si="15">B25</f>
        <v>2</v>
      </c>
      <c r="Q157" s="486"/>
      <c r="R157" s="486">
        <v>6.6E-3</v>
      </c>
      <c r="S157" s="499">
        <v>6.6E-3</v>
      </c>
    </row>
    <row r="158" spans="16:19" x14ac:dyDescent="0.4">
      <c r="P158" s="485">
        <f t="shared" si="15"/>
        <v>3</v>
      </c>
      <c r="Q158" s="486"/>
      <c r="R158" s="486">
        <v>7.4999999999999997E-3</v>
      </c>
      <c r="S158" s="499">
        <v>7.4999999999999997E-3</v>
      </c>
    </row>
    <row r="159" spans="16:19" x14ac:dyDescent="0.4">
      <c r="P159" s="485">
        <f t="shared" si="15"/>
        <v>4</v>
      </c>
      <c r="Q159" s="486"/>
      <c r="R159" s="486">
        <v>7.4999999999999997E-3</v>
      </c>
      <c r="S159" s="499">
        <v>7.4999999999999997E-3</v>
      </c>
    </row>
    <row r="160" spans="16:19" x14ac:dyDescent="0.4">
      <c r="P160" s="485">
        <f t="shared" si="15"/>
        <v>5</v>
      </c>
      <c r="Q160" s="486"/>
      <c r="R160" s="486">
        <v>7.4999999999999997E-3</v>
      </c>
      <c r="S160" s="499">
        <v>7.4999999999999997E-3</v>
      </c>
    </row>
    <row r="161" spans="16:23" x14ac:dyDescent="0.4">
      <c r="P161" s="485">
        <f t="shared" si="15"/>
        <v>6</v>
      </c>
      <c r="Q161" s="486"/>
      <c r="R161" s="486">
        <v>5.8999999999999999E-3</v>
      </c>
      <c r="S161" s="499">
        <v>5.8999999999999999E-3</v>
      </c>
    </row>
    <row r="162" spans="16:23" x14ac:dyDescent="0.4">
      <c r="P162" s="485">
        <f t="shared" si="15"/>
        <v>7</v>
      </c>
      <c r="Q162" s="486"/>
      <c r="R162" s="486">
        <v>6.0000000000000001E-3</v>
      </c>
      <c r="S162" s="499">
        <v>6.0000000000000001E-3</v>
      </c>
      <c r="U162" s="479"/>
    </row>
    <row r="163" spans="16:23" x14ac:dyDescent="0.4">
      <c r="P163" s="485">
        <f t="shared" si="15"/>
        <v>8</v>
      </c>
      <c r="Q163" s="486"/>
      <c r="R163" s="486">
        <v>6.0000000000000001E-3</v>
      </c>
      <c r="S163" s="499">
        <v>6.0000000000000001E-3</v>
      </c>
      <c r="U163" s="479"/>
    </row>
    <row r="164" spans="16:23" x14ac:dyDescent="0.4">
      <c r="P164" s="485">
        <f t="shared" si="15"/>
        <v>9</v>
      </c>
      <c r="Q164" s="486"/>
      <c r="R164" s="486">
        <v>1.2E-2</v>
      </c>
      <c r="S164" s="499">
        <v>1.2E-2</v>
      </c>
      <c r="U164" s="479"/>
      <c r="V164" s="479"/>
    </row>
    <row r="165" spans="16:23" x14ac:dyDescent="0.4">
      <c r="P165" s="490">
        <f t="shared" si="15"/>
        <v>10</v>
      </c>
      <c r="Q165" s="491"/>
      <c r="R165" s="491">
        <v>6.0000000000000001E-3</v>
      </c>
      <c r="S165" s="500">
        <v>6.0000000000000001E-3</v>
      </c>
      <c r="U165" s="479"/>
      <c r="V165" s="479"/>
    </row>
    <row r="166" spans="16:23" x14ac:dyDescent="0.4">
      <c r="U166" s="479"/>
      <c r="V166" s="479"/>
    </row>
    <row r="168" spans="16:23" x14ac:dyDescent="0.4">
      <c r="W168" s="479"/>
    </row>
    <row r="169" spans="16:23" x14ac:dyDescent="0.4">
      <c r="W169" s="479"/>
    </row>
    <row r="170" spans="16:23" x14ac:dyDescent="0.4">
      <c r="W170" s="479"/>
    </row>
    <row r="171" spans="16:23" x14ac:dyDescent="0.4">
      <c r="W171" s="479"/>
    </row>
    <row r="190" spans="24:24" x14ac:dyDescent="0.4">
      <c r="X190" s="479"/>
    </row>
    <row r="191" spans="24:24" x14ac:dyDescent="0.4">
      <c r="X191" s="479"/>
    </row>
    <row r="192" spans="24:24" x14ac:dyDescent="0.4">
      <c r="X192" s="479"/>
    </row>
    <row r="193" spans="24:24" x14ac:dyDescent="0.4">
      <c r="X193" s="479"/>
    </row>
    <row r="194" spans="24:24" x14ac:dyDescent="0.4">
      <c r="X194" s="479"/>
    </row>
    <row r="195" spans="24:24" x14ac:dyDescent="0.4">
      <c r="X195" s="479"/>
    </row>
    <row r="196" spans="24:24" x14ac:dyDescent="0.4">
      <c r="X196" s="479"/>
    </row>
    <row r="197" spans="24:24" x14ac:dyDescent="0.4">
      <c r="X197" s="479"/>
    </row>
    <row r="198" spans="24:24" x14ac:dyDescent="0.4">
      <c r="X198" s="479"/>
    </row>
    <row r="199" spans="24:24" x14ac:dyDescent="0.4">
      <c r="X199" s="479"/>
    </row>
    <row r="200" spans="24:24" x14ac:dyDescent="0.4">
      <c r="X200" s="479"/>
    </row>
    <row r="201" spans="24:24" x14ac:dyDescent="0.4">
      <c r="X201" s="479"/>
    </row>
  </sheetData>
  <sheetProtection sheet="1" objects="1" scenarios="1"/>
  <pageMargins left="0.75" right="0.75" top="1" bottom="1" header="0.5" footer="0.5"/>
  <pageSetup paperSize="9" orientation="portrait" horizontalDpi="4294967292" verticalDpi="4294967292"/>
  <ignoredErrors>
    <ignoredError sqref="R105:R106 R111:R112" formula="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5"/>
  <sheetViews>
    <sheetView zoomScale="125" zoomScaleNormal="125" zoomScalePageLayoutView="125" workbookViewId="0"/>
  </sheetViews>
  <sheetFormatPr defaultColWidth="10.86328125" defaultRowHeight="12.75" x14ac:dyDescent="0.35"/>
  <cols>
    <col min="1" max="1" width="3.73046875" style="479" customWidth="1"/>
    <col min="2" max="10" width="10.86328125" style="479"/>
    <col min="11" max="11" width="8.3984375" style="479" customWidth="1"/>
    <col min="12" max="12" width="24.1328125" style="479" customWidth="1"/>
    <col min="13" max="13" width="23.86328125" style="479" customWidth="1"/>
    <col min="14" max="14" width="19.86328125" style="479" customWidth="1"/>
    <col min="15" max="16384" width="10.86328125" style="479"/>
  </cols>
  <sheetData>
    <row r="1" spans="1:14" ht="17.25" x14ac:dyDescent="0.45">
      <c r="A1" s="478" t="s">
        <v>322</v>
      </c>
    </row>
    <row r="2" spans="1:14" ht="15.4" x14ac:dyDescent="0.45">
      <c r="B2" s="240" t="s">
        <v>56</v>
      </c>
      <c r="C2" s="240"/>
      <c r="D2" s="241"/>
      <c r="E2" s="240" t="s">
        <v>263</v>
      </c>
      <c r="F2" s="240"/>
      <c r="G2" s="240"/>
      <c r="H2" s="240"/>
      <c r="I2" s="240"/>
      <c r="J2" s="240"/>
      <c r="K2" s="242" t="s">
        <v>55</v>
      </c>
      <c r="L2" s="244" t="s">
        <v>185</v>
      </c>
      <c r="M2" s="244" t="s">
        <v>193</v>
      </c>
      <c r="N2" s="244" t="s">
        <v>203</v>
      </c>
    </row>
    <row r="3" spans="1:14" x14ac:dyDescent="0.35">
      <c r="B3" s="243"/>
      <c r="C3" s="243"/>
      <c r="D3" s="243"/>
      <c r="E3" s="243"/>
      <c r="F3" s="243"/>
      <c r="G3" s="243"/>
      <c r="H3" s="243"/>
      <c r="I3" s="243"/>
      <c r="J3" s="243"/>
      <c r="K3" s="243"/>
      <c r="L3" s="245"/>
      <c r="M3" s="245"/>
      <c r="N3" s="245"/>
    </row>
    <row r="4" spans="1:14" ht="13.15" x14ac:dyDescent="0.4">
      <c r="B4" s="319" t="s">
        <v>329</v>
      </c>
      <c r="C4" s="319"/>
      <c r="D4" s="319"/>
      <c r="E4" s="319"/>
      <c r="F4" s="319">
        <f>'Data input'!D75</f>
        <v>60</v>
      </c>
      <c r="G4" s="319"/>
      <c r="H4" s="319"/>
      <c r="I4" s="319"/>
      <c r="J4" s="319"/>
      <c r="K4" s="319" t="s">
        <v>321</v>
      </c>
      <c r="L4" s="320"/>
      <c r="M4" s="320"/>
      <c r="N4" s="320"/>
    </row>
    <row r="5" spans="1:14" ht="13.15" x14ac:dyDescent="0.4">
      <c r="B5" s="319" t="s">
        <v>323</v>
      </c>
      <c r="C5" s="319"/>
      <c r="D5" s="319"/>
      <c r="E5" s="319"/>
      <c r="F5" s="319">
        <f>'Data input'!D76</f>
        <v>1</v>
      </c>
      <c r="G5" s="319"/>
      <c r="H5" s="319"/>
      <c r="I5" s="319"/>
      <c r="J5" s="319"/>
      <c r="K5" s="319"/>
      <c r="L5" s="320"/>
      <c r="M5" s="320"/>
      <c r="N5" s="320"/>
    </row>
    <row r="6" spans="1:14" ht="13.15" x14ac:dyDescent="0.4">
      <c r="B6" s="319" t="s">
        <v>324</v>
      </c>
      <c r="C6" s="319"/>
      <c r="D6" s="319"/>
      <c r="E6" s="319"/>
      <c r="F6" s="319">
        <v>0.9</v>
      </c>
      <c r="G6" s="319"/>
      <c r="H6" s="319"/>
      <c r="I6" s="319"/>
      <c r="J6" s="319"/>
      <c r="K6" s="319"/>
      <c r="L6" s="320"/>
      <c r="M6" s="320"/>
      <c r="N6" s="320"/>
    </row>
    <row r="7" spans="1:14" ht="13.15" x14ac:dyDescent="0.4">
      <c r="B7" s="319" t="s">
        <v>325</v>
      </c>
      <c r="C7" s="319"/>
      <c r="D7" s="319"/>
      <c r="E7" s="319"/>
      <c r="F7" s="319">
        <v>0.95</v>
      </c>
      <c r="G7" s="319"/>
      <c r="H7" s="319"/>
      <c r="I7" s="319"/>
      <c r="J7" s="319"/>
      <c r="K7" s="319"/>
      <c r="L7" s="320"/>
      <c r="M7" s="320"/>
      <c r="N7" s="320"/>
    </row>
    <row r="8" spans="1:14" ht="13.15" x14ac:dyDescent="0.4">
      <c r="B8" s="319" t="s">
        <v>326</v>
      </c>
      <c r="C8" s="319"/>
      <c r="D8" s="319"/>
      <c r="E8" s="319"/>
      <c r="F8" s="319">
        <v>0.12</v>
      </c>
      <c r="G8" s="319"/>
      <c r="H8" s="319"/>
      <c r="I8" s="319"/>
      <c r="J8" s="319"/>
      <c r="K8" s="319"/>
      <c r="L8" s="320"/>
      <c r="M8" s="320"/>
      <c r="N8" s="320"/>
    </row>
    <row r="9" spans="1:14" ht="13.15" x14ac:dyDescent="0.4">
      <c r="B9" s="319" t="s">
        <v>327</v>
      </c>
      <c r="C9" s="319"/>
      <c r="D9" s="319"/>
      <c r="E9" s="319"/>
      <c r="F9" s="319">
        <v>0.13</v>
      </c>
      <c r="G9" s="319"/>
      <c r="H9" s="319"/>
      <c r="I9" s="319"/>
      <c r="J9" s="319"/>
      <c r="K9" s="319"/>
      <c r="L9" s="320"/>
      <c r="M9" s="320"/>
      <c r="N9" s="320"/>
    </row>
    <row r="10" spans="1:14" ht="13.15" x14ac:dyDescent="0.4">
      <c r="B10" s="319" t="s">
        <v>225</v>
      </c>
      <c r="C10" s="319"/>
      <c r="D10" s="319"/>
      <c r="E10" s="319"/>
      <c r="F10" s="321">
        <f>'GWP Factors'!C18</f>
        <v>3.6666666666666665</v>
      </c>
      <c r="G10" s="319"/>
      <c r="H10" s="319"/>
      <c r="I10" s="319"/>
      <c r="J10" s="319"/>
      <c r="K10" s="319"/>
      <c r="L10" s="320"/>
      <c r="M10" s="320"/>
      <c r="N10" s="320"/>
    </row>
    <row r="11" spans="1:14" ht="13.15" x14ac:dyDescent="0.4">
      <c r="B11" s="319"/>
      <c r="C11" s="319"/>
      <c r="D11" s="319"/>
      <c r="E11" s="319"/>
      <c r="F11" s="319"/>
      <c r="G11" s="319"/>
      <c r="H11" s="319"/>
      <c r="I11" s="319"/>
      <c r="J11" s="319"/>
      <c r="K11" s="319"/>
      <c r="L11" s="320"/>
      <c r="M11" s="320"/>
      <c r="N11" s="320"/>
    </row>
    <row r="12" spans="1:14" ht="13.15" x14ac:dyDescent="0.4">
      <c r="B12" s="534" t="s">
        <v>328</v>
      </c>
      <c r="C12" s="319"/>
      <c r="D12" s="319"/>
      <c r="E12" s="319"/>
      <c r="F12" s="319"/>
      <c r="G12" s="319"/>
      <c r="H12" s="319"/>
      <c r="I12" s="319"/>
      <c r="J12" s="319"/>
      <c r="K12" s="319"/>
      <c r="L12" s="533" t="s">
        <v>761</v>
      </c>
      <c r="M12" s="322" t="s">
        <v>331</v>
      </c>
      <c r="N12" s="322" t="s">
        <v>197</v>
      </c>
    </row>
    <row r="13" spans="1:14" ht="13.15" x14ac:dyDescent="0.4">
      <c r="B13" s="319"/>
      <c r="C13" s="319"/>
      <c r="D13" s="319"/>
      <c r="E13" s="319"/>
      <c r="F13" s="319"/>
      <c r="G13" s="319"/>
      <c r="H13" s="319"/>
      <c r="I13" s="319"/>
      <c r="J13" s="319"/>
      <c r="K13" s="319"/>
      <c r="L13" s="320"/>
      <c r="M13" s="320"/>
      <c r="N13" s="320"/>
    </row>
    <row r="14" spans="1:14" ht="13.15" x14ac:dyDescent="0.4">
      <c r="B14" s="319" t="s">
        <v>330</v>
      </c>
      <c r="C14" s="319"/>
      <c r="D14" s="319"/>
      <c r="E14" s="319"/>
      <c r="F14" s="323">
        <f>((F4*F5*F6*F8)+(F4*(1-F5)*F7*F9)*F10)/1000</f>
        <v>6.4799999999999996E-3</v>
      </c>
      <c r="G14" s="319"/>
      <c r="H14" s="319"/>
      <c r="I14" s="319"/>
      <c r="J14" s="319"/>
      <c r="K14" s="319" t="s">
        <v>317</v>
      </c>
      <c r="L14" s="320"/>
      <c r="M14" s="320"/>
      <c r="N14" s="320"/>
    </row>
    <row r="15" spans="1:14" ht="13.15" x14ac:dyDescent="0.4">
      <c r="B15" s="535" t="s">
        <v>330</v>
      </c>
      <c r="C15" s="535"/>
      <c r="D15" s="535"/>
      <c r="E15" s="535"/>
      <c r="F15" s="535">
        <f>F14*10^3</f>
        <v>6.4799999999999995</v>
      </c>
      <c r="G15" s="535"/>
      <c r="H15" s="535"/>
      <c r="I15" s="535"/>
      <c r="J15" s="535"/>
      <c r="K15" s="535" t="s">
        <v>379</v>
      </c>
      <c r="L15" s="536"/>
      <c r="M15" s="536"/>
      <c r="N15" s="536"/>
    </row>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22"/>
  <sheetViews>
    <sheetView workbookViewId="0"/>
  </sheetViews>
  <sheetFormatPr defaultColWidth="9" defaultRowHeight="15.4" x14ac:dyDescent="0.45"/>
  <cols>
    <col min="1" max="1" width="3.73046875" style="365" customWidth="1"/>
    <col min="2" max="2" width="39.86328125" style="365" customWidth="1"/>
    <col min="3" max="4" width="18.86328125" style="365" customWidth="1"/>
    <col min="5" max="5" width="14.1328125" style="365" customWidth="1"/>
    <col min="6" max="6" width="21.73046875" style="365" customWidth="1"/>
    <col min="7" max="7" width="17.265625" style="365" customWidth="1"/>
    <col min="8" max="8" width="17.3984375" style="365" customWidth="1"/>
    <col min="9" max="16384" width="9" style="365"/>
  </cols>
  <sheetData>
    <row r="1" spans="2:8" ht="17.25" x14ac:dyDescent="0.45">
      <c r="B1" s="366" t="s">
        <v>737</v>
      </c>
    </row>
    <row r="3" spans="2:8" x14ac:dyDescent="0.45">
      <c r="B3" s="424" t="s">
        <v>97</v>
      </c>
      <c r="C3" s="425" t="str">
        <f>'Data input'!D40</f>
        <v>Dryland</v>
      </c>
      <c r="D3" s="425" t="str">
        <f>'Data input'!F40</f>
        <v>Irrigated</v>
      </c>
      <c r="E3" s="426" t="s">
        <v>55</v>
      </c>
      <c r="F3" s="427" t="s">
        <v>185</v>
      </c>
      <c r="G3" s="428" t="s">
        <v>193</v>
      </c>
      <c r="H3" s="427" t="s">
        <v>203</v>
      </c>
    </row>
    <row r="4" spans="2:8" x14ac:dyDescent="0.45">
      <c r="B4" s="429"/>
      <c r="C4" s="430"/>
      <c r="D4" s="430"/>
      <c r="E4" s="429"/>
      <c r="F4" s="431"/>
      <c r="G4" s="431"/>
      <c r="H4" s="431"/>
    </row>
    <row r="5" spans="2:8" x14ac:dyDescent="0.45">
      <c r="B5" s="432" t="s">
        <v>738</v>
      </c>
      <c r="C5" s="433">
        <f>'Data input'!D41</f>
        <v>0</v>
      </c>
      <c r="D5" s="433">
        <f>'Data input'!F41</f>
        <v>0</v>
      </c>
      <c r="E5" s="434" t="s">
        <v>20</v>
      </c>
      <c r="F5" s="435"/>
      <c r="G5" s="431"/>
      <c r="H5" s="431"/>
    </row>
    <row r="6" spans="2:8" x14ac:dyDescent="0.45">
      <c r="B6" s="436" t="s">
        <v>739</v>
      </c>
      <c r="C6" s="430">
        <f>'Data input'!D42</f>
        <v>5637</v>
      </c>
      <c r="D6" s="430">
        <f>'Data input'!F42</f>
        <v>0</v>
      </c>
      <c r="E6" s="437" t="s">
        <v>20</v>
      </c>
      <c r="F6" s="435"/>
      <c r="G6" s="431"/>
      <c r="H6" s="431"/>
    </row>
    <row r="7" spans="2:8" x14ac:dyDescent="0.45">
      <c r="B7" s="436" t="s">
        <v>740</v>
      </c>
      <c r="C7" s="430">
        <f>'Data input'!D72</f>
        <v>0</v>
      </c>
      <c r="D7" s="430">
        <f>'Data input'!F72</f>
        <v>0</v>
      </c>
      <c r="E7" s="437" t="s">
        <v>70</v>
      </c>
      <c r="F7" s="435"/>
      <c r="G7" s="431"/>
      <c r="H7" s="431"/>
    </row>
    <row r="8" spans="2:8" x14ac:dyDescent="0.45">
      <c r="B8" s="438" t="s">
        <v>741</v>
      </c>
      <c r="C8" s="439">
        <f>'Data input'!D73</f>
        <v>32.879900656377508</v>
      </c>
      <c r="D8" s="439">
        <f>'Data input'!F73</f>
        <v>0</v>
      </c>
      <c r="E8" s="440" t="s">
        <v>70</v>
      </c>
      <c r="F8" s="435"/>
      <c r="G8" s="431"/>
      <c r="H8" s="431"/>
    </row>
    <row r="9" spans="2:8" x14ac:dyDescent="0.45">
      <c r="B9" s="441"/>
      <c r="C9" s="430"/>
      <c r="D9" s="430"/>
      <c r="E9" s="442"/>
      <c r="F9" s="435"/>
      <c r="G9" s="431"/>
      <c r="H9" s="431"/>
    </row>
    <row r="10" spans="2:8" x14ac:dyDescent="0.45">
      <c r="B10" s="443" t="s">
        <v>742</v>
      </c>
      <c r="C10" s="439">
        <f>((C5+C6)*(C7+C8))*10^-3</f>
        <v>185.34399999999999</v>
      </c>
      <c r="D10" s="430">
        <f>((D5+D6)*(D7+D8))*10^-3</f>
        <v>0</v>
      </c>
      <c r="E10" s="442" t="s">
        <v>743</v>
      </c>
      <c r="F10" s="435"/>
      <c r="G10" s="431"/>
      <c r="H10" s="431"/>
    </row>
    <row r="11" spans="2:8" x14ac:dyDescent="0.45">
      <c r="B11" s="441"/>
      <c r="C11" s="441"/>
      <c r="D11" s="444"/>
      <c r="E11" s="445"/>
      <c r="F11" s="435"/>
      <c r="G11" s="431"/>
      <c r="H11" s="431"/>
    </row>
    <row r="12" spans="2:8" x14ac:dyDescent="0.45">
      <c r="B12" s="443"/>
      <c r="C12" s="443"/>
      <c r="D12" s="443"/>
      <c r="E12" s="446"/>
      <c r="F12" s="435"/>
      <c r="G12" s="431"/>
      <c r="H12" s="431"/>
    </row>
    <row r="13" spans="2:8" x14ac:dyDescent="0.45">
      <c r="B13" s="447" t="s">
        <v>129</v>
      </c>
      <c r="C13" s="430"/>
      <c r="D13" s="448"/>
      <c r="E13" s="442"/>
      <c r="F13" s="435"/>
      <c r="G13" s="431"/>
      <c r="H13" s="431"/>
    </row>
    <row r="14" spans="2:8" x14ac:dyDescent="0.45">
      <c r="B14" s="447" t="s">
        <v>131</v>
      </c>
      <c r="C14" s="449" t="s">
        <v>744</v>
      </c>
      <c r="D14" s="430"/>
      <c r="E14" s="442"/>
      <c r="F14" s="450" t="s">
        <v>761</v>
      </c>
      <c r="G14" s="450" t="s">
        <v>745</v>
      </c>
      <c r="H14" s="450" t="s">
        <v>197</v>
      </c>
    </row>
    <row r="15" spans="2:8" x14ac:dyDescent="0.45">
      <c r="B15" s="451"/>
      <c r="C15" s="452" t="s">
        <v>746</v>
      </c>
      <c r="D15" s="452"/>
      <c r="E15" s="442"/>
      <c r="F15" s="453"/>
      <c r="G15" s="431"/>
      <c r="H15" s="431"/>
    </row>
    <row r="16" spans="2:8" x14ac:dyDescent="0.45">
      <c r="B16" s="441"/>
      <c r="C16" s="452" t="s">
        <v>747</v>
      </c>
      <c r="D16" s="452">
        <v>0.2</v>
      </c>
      <c r="E16" s="442"/>
      <c r="F16" s="450"/>
      <c r="G16" s="431"/>
      <c r="H16" s="431"/>
    </row>
    <row r="17" spans="2:8" x14ac:dyDescent="0.45">
      <c r="B17" s="441"/>
      <c r="C17" s="451" t="s">
        <v>748</v>
      </c>
      <c r="D17" s="452">
        <f>'GWP Factors'!C13</f>
        <v>3.6666666666666665</v>
      </c>
      <c r="E17" s="442"/>
      <c r="F17" s="435"/>
      <c r="G17" s="431"/>
      <c r="H17" s="431"/>
    </row>
    <row r="18" spans="2:8" x14ac:dyDescent="0.45">
      <c r="B18" s="441"/>
      <c r="C18" s="454">
        <f>(C10*$D$16*$D$17)*10^-3</f>
        <v>0.13591893333333335</v>
      </c>
      <c r="D18" s="454">
        <f>(D10*$D$16*$D$17)*10^-3</f>
        <v>0</v>
      </c>
      <c r="E18" s="442" t="s">
        <v>749</v>
      </c>
      <c r="F18" s="435"/>
      <c r="G18" s="431"/>
      <c r="H18" s="431"/>
    </row>
    <row r="19" spans="2:8" x14ac:dyDescent="0.45">
      <c r="B19" s="451"/>
      <c r="C19" s="430"/>
      <c r="D19" s="442"/>
      <c r="E19" s="455"/>
      <c r="F19" s="435"/>
      <c r="G19" s="431"/>
      <c r="H19" s="431"/>
    </row>
    <row r="20" spans="2:8" x14ac:dyDescent="0.45">
      <c r="B20" s="456" t="s">
        <v>36</v>
      </c>
      <c r="C20" s="448">
        <f>SUM(C18:D18)</f>
        <v>0.13591893333333335</v>
      </c>
      <c r="D20" s="457"/>
      <c r="E20" s="442" t="str">
        <f>E18</f>
        <v>Gg CO2e</v>
      </c>
      <c r="F20" s="431"/>
      <c r="G20" s="431"/>
      <c r="H20" s="431"/>
    </row>
    <row r="21" spans="2:8" x14ac:dyDescent="0.45">
      <c r="B21" s="456"/>
      <c r="C21" s="448"/>
      <c r="D21" s="448"/>
      <c r="E21" s="442"/>
      <c r="F21" s="431"/>
      <c r="G21" s="431"/>
      <c r="H21" s="431"/>
    </row>
    <row r="22" spans="2:8" x14ac:dyDescent="0.45">
      <c r="B22" s="458" t="s">
        <v>36</v>
      </c>
      <c r="C22" s="459">
        <f>C20*10^3</f>
        <v>135.91893333333334</v>
      </c>
      <c r="D22" s="443"/>
      <c r="E22" s="460" t="s">
        <v>173</v>
      </c>
      <c r="F22" s="461"/>
      <c r="G22" s="461"/>
      <c r="H22" s="461"/>
    </row>
  </sheetData>
  <sheetProtection sheet="1" objects="1" scenarios="1"/>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Data summary</vt:lpstr>
      <vt:lpstr>Data input</vt:lpstr>
      <vt:lpstr>Enteric fermentation</vt:lpstr>
      <vt:lpstr>Manure management</vt:lpstr>
      <vt:lpstr>Nitrous Oxide MMS</vt:lpstr>
      <vt:lpstr>Agricultural soils</vt:lpstr>
      <vt:lpstr>Savannah Burning</vt:lpstr>
      <vt:lpstr>Liming</vt:lpstr>
      <vt:lpstr>Urea Application</vt:lpstr>
      <vt:lpstr>Electicity, Gas &amp; Diesel</vt:lpstr>
      <vt:lpstr>Transport</vt:lpstr>
      <vt:lpstr>GWP Factors</vt:lpstr>
      <vt:lpstr>'Savannah Burning'!_Ref412125434</vt:lpstr>
      <vt:lpstr>'Savannah Burning'!_Ref412125439</vt:lpstr>
      <vt:lpstr>'Data summary'!Print_Area</vt:lpstr>
    </vt:vector>
  </TitlesOfParts>
  <Company>ILFR, The University of Melbourne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Richard J Eckard</dc:creator>
  <cp:lastModifiedBy>Richard Eckard</cp:lastModifiedBy>
  <cp:lastPrinted>2002-03-13T02:03:34Z</cp:lastPrinted>
  <dcterms:created xsi:type="dcterms:W3CDTF">2001-05-18T05:48:59Z</dcterms:created>
  <dcterms:modified xsi:type="dcterms:W3CDTF">2018-01-17T16:38:15Z</dcterms:modified>
</cp:coreProperties>
</file>