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2315" windowHeight="5220" activeTab="1"/>
  </bookViews>
  <sheets>
    <sheet name="Intro" sheetId="1" r:id="rId1"/>
    <sheet name="Data summary" sheetId="2" r:id="rId2"/>
    <sheet name="Data input" sheetId="3" r:id="rId3"/>
    <sheet name="Enteric fermentation" sheetId="4" r:id="rId4"/>
    <sheet name="Manure management" sheetId="5" r:id="rId5"/>
    <sheet name="Nitrous Oxide MMS" sheetId="6" r:id="rId6"/>
    <sheet name="Savannah Burning" sheetId="7" r:id="rId7"/>
    <sheet name="Agricultural soils" sheetId="8" r:id="rId8"/>
    <sheet name="Trees" sheetId="9" r:id="rId9"/>
    <sheet name="Electicity &amp; Diesel" sheetId="10" r:id="rId10"/>
  </sheets>
  <definedNames>
    <definedName name="_xlnm.Print_Area" localSheetId="1">'Data summary'!$B$1:$Q$34</definedName>
  </definedNames>
  <calcPr fullCalcOnLoad="1"/>
</workbook>
</file>

<file path=xl/comments10.xml><?xml version="1.0" encoding="utf-8"?>
<comments xmlns="http://schemas.openxmlformats.org/spreadsheetml/2006/main">
  <authors>
    <author>Dr Richard J Eckard</author>
    <author>Seyda Ozkan</author>
  </authors>
  <commentList>
    <comment ref="B38" authorId="0">
      <text>
        <r>
          <rPr>
            <sz val="8"/>
            <rFont val="Tahoma"/>
            <family val="2"/>
          </rPr>
          <t>SO2 Emission factor = 0.37 Gg SO2/PJ</t>
        </r>
      </text>
    </comment>
    <comment ref="B39" authorId="0">
      <text>
        <r>
          <rPr>
            <sz val="8"/>
            <rFont val="Tahoma"/>
            <family val="2"/>
          </rPr>
          <t>SO2 Emission factor = 0.15 Gg SO2/PJ</t>
        </r>
      </text>
    </comment>
    <comment ref="C38" authorId="0">
      <text>
        <r>
          <rPr>
            <sz val="8"/>
            <rFont val="Tahoma"/>
            <family val="2"/>
          </rPr>
          <t>30% would be average</t>
        </r>
      </text>
    </comment>
    <comment ref="D38" authorId="0">
      <text>
        <r>
          <rPr>
            <sz val="8"/>
            <rFont val="Tahoma"/>
            <family val="2"/>
          </rPr>
          <t>1000 average</t>
        </r>
      </text>
    </comment>
    <comment ref="C39" authorId="0">
      <text>
        <r>
          <rPr>
            <sz val="8"/>
            <rFont val="Tahoma"/>
            <family val="2"/>
          </rPr>
          <t>25% average</t>
        </r>
      </text>
    </comment>
    <comment ref="D39" authorId="0">
      <text>
        <r>
          <rPr>
            <sz val="8"/>
            <rFont val="Tahoma"/>
            <family val="2"/>
          </rPr>
          <t>1400 average</t>
        </r>
      </text>
    </comment>
    <comment ref="H21" authorId="1">
      <text>
        <r>
          <rPr>
            <sz val="8"/>
            <rFont val="Tahoma"/>
            <family val="2"/>
          </rPr>
          <t>0.085 Gg SO2/PJ</t>
        </r>
      </text>
    </comment>
  </commentList>
</comments>
</file>

<file path=xl/comments3.xml><?xml version="1.0" encoding="utf-8"?>
<comments xmlns="http://schemas.openxmlformats.org/spreadsheetml/2006/main">
  <authors>
    <author>Dr Richard J Eckard</author>
    <author>Richard Eckard</author>
    <author>Seyda Ozkan</author>
  </authors>
  <commentList>
    <comment ref="B4" authorId="0">
      <text>
        <r>
          <rPr>
            <sz val="8"/>
            <rFont val="Tahoma"/>
            <family val="2"/>
          </rPr>
          <t>Insert the number of animals in each category in each season.</t>
        </r>
      </text>
    </comment>
    <comment ref="B10" authorId="0">
      <text>
        <r>
          <rPr>
            <sz val="8"/>
            <rFont val="Tahoma"/>
            <family val="2"/>
          </rPr>
          <t>Specify the average liveweight of your herd for each category in each season</t>
        </r>
      </text>
    </comment>
    <comment ref="B16" authorId="0">
      <text>
        <r>
          <rPr>
            <sz val="8"/>
            <rFont val="Tahoma"/>
            <family val="2"/>
          </rPr>
          <t>Insert the likely average daily liveweight gain (kg/day) for each class of animal in each season.</t>
        </r>
      </text>
    </comment>
    <comment ref="B28" authorId="1">
      <text>
        <r>
          <rPr>
            <sz val="8"/>
            <rFont val="Tahoma"/>
            <family val="2"/>
          </rPr>
          <t>Enter the dry matter digestibility (DMD) in the feed eaten, not on offer</t>
        </r>
      </text>
    </comment>
    <comment ref="B22" authorId="2">
      <text>
        <r>
          <rPr>
            <sz val="8"/>
            <rFont val="Tahoma"/>
            <family val="2"/>
          </rPr>
          <t>Enter the CP in the feed eaten, not on offer</t>
        </r>
      </text>
    </comment>
    <comment ref="B35" authorId="2">
      <text>
        <r>
          <rPr>
            <sz val="8"/>
            <rFont val="Tahoma"/>
            <family val="2"/>
          </rPr>
          <t>Total area of pastures on the farm, that is not natural rangeland (ha)</t>
        </r>
      </text>
    </comment>
    <comment ref="B34" authorId="2">
      <text>
        <r>
          <rPr>
            <sz val="8"/>
            <rFont val="Tahoma"/>
            <family val="2"/>
          </rPr>
          <t>The total area of land cultivated for cropping (ha).</t>
        </r>
      </text>
    </comment>
    <comment ref="B37" authorId="2">
      <text>
        <r>
          <rPr>
            <sz val="8"/>
            <rFont val="Tahoma"/>
            <family val="2"/>
          </rPr>
          <t>Total amount of Nitrogen fertiliser applied on crops (in kg N/ha) - remember that urea is 46%N and DAP is 18% N etc. i.e. 10 tonnes of urea = 10000*46/100 kg N</t>
        </r>
      </text>
    </comment>
    <comment ref="B49" authorId="2">
      <text>
        <r>
          <rPr>
            <sz val="8"/>
            <rFont val="Tahoma"/>
            <family val="2"/>
          </rPr>
          <t>How many litres of diesel did the farm use last year?</t>
        </r>
      </text>
    </comment>
    <comment ref="B50" authorId="2">
      <text>
        <r>
          <rPr>
            <sz val="8"/>
            <rFont val="Tahoma"/>
            <family val="2"/>
          </rPr>
          <t>What was your total annual electricity bill for the year in KWh?</t>
        </r>
      </text>
    </comment>
    <comment ref="B51" authorId="0">
      <text>
        <r>
          <rPr>
            <sz val="8"/>
            <rFont val="Tahoma"/>
            <family val="2"/>
          </rPr>
          <t>This allows for the evaluation of the carbon sequestration impact if planting trees on the farm. If you don't want this comparison, then set the area to zero.</t>
        </r>
      </text>
    </comment>
    <comment ref="G52" authorId="2">
      <text>
        <r>
          <rPr>
            <sz val="8"/>
            <rFont val="Tahoma"/>
            <family val="2"/>
          </rPr>
          <t xml:space="preserve">Enter the proportion of cows lactating
Note: This must correspond to the Feed Adjustment cells to the right. </t>
        </r>
      </text>
    </comment>
    <comment ref="O10" authorId="2">
      <text>
        <r>
          <rPr>
            <sz val="8"/>
            <rFont val="Tahoma"/>
            <family val="2"/>
          </rPr>
          <t>In the current methodology, it is considered that leaching occurs where Et/P &lt; 0.8 or Et/P &gt; 1 (See the map below). Regions outside these areas (orange zone) are considered to be 'dryland' and not subject to leaching.</t>
        </r>
      </text>
    </comment>
    <comment ref="O31" authorId="2">
      <text>
        <r>
          <rPr>
            <sz val="8"/>
            <rFont val="Tahoma"/>
            <family val="2"/>
          </rPr>
          <t>For example, if you are in Gippsland, it is most likely from Victorian Brown Coal. If you deliberately buy power from renewable sources or Green Power, then select the bottom option.
While electricity consumption is not a greenhouse emission at a farm level, it is important to include this to allow you to investigate the impact of increased power use such as for comparing spray irrigation against flood irrigation.</t>
        </r>
      </text>
    </comment>
    <comment ref="O34" authorId="2">
      <text>
        <r>
          <rPr>
            <sz val="8"/>
            <rFont val="Tahoma"/>
            <family val="2"/>
          </rPr>
          <t xml:space="preserve"> If they are not listed then choose the closest species, or just the general heading.</t>
        </r>
      </text>
    </comment>
    <comment ref="O37" authorId="2">
      <text>
        <r>
          <rPr>
            <sz val="8"/>
            <rFont val="Tahoma"/>
            <family val="2"/>
          </rPr>
          <t>Rainfall is just a general guide for the rate of tree growth.</t>
        </r>
      </text>
    </comment>
    <comment ref="J1" authorId="2">
      <text>
        <r>
          <rPr>
            <sz val="8"/>
            <rFont val="Tahoma"/>
            <family val="2"/>
          </rPr>
          <t>type the name of your farm</t>
        </r>
      </text>
    </comment>
    <comment ref="B43" authorId="2">
      <text>
        <r>
          <rPr>
            <sz val="8"/>
            <rFont val="Tahoma"/>
            <family val="2"/>
          </rPr>
          <t>Amount of Nitrogen fertiliser applied on pastures (in kg N/ha) - remember that urea is 46%N and DAP is 18% N etc. i.e. 10 tonnes of urea = 10000*46/100 kg N</t>
        </r>
      </text>
    </comment>
    <comment ref="I53" authorId="1">
      <text>
        <r>
          <rPr>
            <b/>
            <sz val="9"/>
            <rFont val="Tahoma"/>
            <family val="2"/>
          </rPr>
          <t xml:space="preserve">The seasons when animals are lactating is taken from the inventory defaults. This is set when you choose the region at the top of this page.
NOTE: these numbers must align with the numbers in the left column. If not, then override the formulas using the data from the Table in cells AA2. </t>
        </r>
      </text>
    </comment>
    <comment ref="F53" authorId="1">
      <text>
        <r>
          <rPr>
            <b/>
            <sz val="9"/>
            <rFont val="Tahoma"/>
            <family val="2"/>
          </rPr>
          <t xml:space="preserve">Insert the milk intake of the calves. The defaults for this are:
- Southern beef: 6 litre/day in the first season and 4 in the next season.
- Northen beef:  4 litre/day in the first season and 3 in the next season.
Note: These must aling with the cells to the right where cows are lactating.
</t>
        </r>
      </text>
    </comment>
  </commentList>
</comments>
</file>

<file path=xl/comments8.xml><?xml version="1.0" encoding="utf-8"?>
<comments xmlns="http://schemas.openxmlformats.org/spreadsheetml/2006/main">
  <authors>
    <author>Seyda Ozkan</author>
  </authors>
  <commentList>
    <comment ref="B16" authorId="0">
      <text>
        <r>
          <rPr>
            <sz val="8"/>
            <rFont val="Tahoma"/>
            <family val="2"/>
          </rPr>
          <t>Total area of pastures on the farm, that is not natural rangeland (ha)</t>
        </r>
      </text>
    </comment>
    <comment ref="B15" authorId="0">
      <text>
        <r>
          <rPr>
            <sz val="8"/>
            <rFont val="Tahoma"/>
            <family val="2"/>
          </rPr>
          <t>The total area of land cultivated for cropping (ha).</t>
        </r>
      </text>
    </comment>
    <comment ref="M53" authorId="0">
      <text>
        <r>
          <rPr>
            <sz val="8"/>
            <rFont val="Tahoma"/>
            <family val="2"/>
          </rPr>
          <t>Does not apply to beef cattle</t>
        </r>
      </text>
    </comment>
    <comment ref="H135" authorId="0">
      <text>
        <r>
          <rPr>
            <sz val="8"/>
            <rFont val="Tahoma"/>
            <family val="2"/>
          </rPr>
          <t>considered in 'other' animal system for pasture range and paddock</t>
        </r>
      </text>
    </comment>
    <comment ref="D134" authorId="0">
      <text>
        <r>
          <rPr>
            <sz val="8"/>
            <rFont val="Tahoma"/>
            <family val="2"/>
          </rPr>
          <t>MMS = 100% voided at pasture</t>
        </r>
      </text>
    </comment>
    <comment ref="M173" authorId="0">
      <text>
        <r>
          <rPr>
            <sz val="8"/>
            <rFont val="Tahoma"/>
            <family val="2"/>
          </rPr>
          <t>For further information, please refer to the comment in data input page where Et/P ratio is questioned.</t>
        </r>
      </text>
    </comment>
  </commentList>
</comments>
</file>

<file path=xl/sharedStrings.xml><?xml version="1.0" encoding="utf-8"?>
<sst xmlns="http://schemas.openxmlformats.org/spreadsheetml/2006/main" count="1098" uniqueCount="484">
  <si>
    <t>Live weight gain (LWG)</t>
  </si>
  <si>
    <t>LC and FA</t>
  </si>
  <si>
    <t>Choose your region in Australia</t>
  </si>
  <si>
    <t>Milk Intake</t>
  </si>
  <si>
    <t>Bulls&gt;1</t>
  </si>
  <si>
    <t>Cows1 to 2</t>
  </si>
  <si>
    <t>Cows&gt;2</t>
  </si>
  <si>
    <t>Herd Information</t>
  </si>
  <si>
    <t>Fertiliser</t>
  </si>
  <si>
    <t>Emission factor</t>
  </si>
  <si>
    <t>Animal waste</t>
  </si>
  <si>
    <t>Livestock Numbers</t>
  </si>
  <si>
    <t>litres/year</t>
  </si>
  <si>
    <t>KWh</t>
  </si>
  <si>
    <t>Annual Diesel Consumption</t>
  </si>
  <si>
    <t>CO</t>
  </si>
  <si>
    <t>NMVOC</t>
  </si>
  <si>
    <t>NOx</t>
  </si>
  <si>
    <t>Outputs</t>
  </si>
  <si>
    <t>Energy - Fuel and Electricity</t>
  </si>
  <si>
    <t>Farm Name</t>
  </si>
  <si>
    <t>Area cropped</t>
  </si>
  <si>
    <t>Area Improved Pasture</t>
  </si>
  <si>
    <t>ha</t>
  </si>
  <si>
    <t>Power Source</t>
  </si>
  <si>
    <t xml:space="preserve">Black Coal </t>
  </si>
  <si>
    <t xml:space="preserve">Brown Coal-Victorian </t>
  </si>
  <si>
    <t xml:space="preserve">Brown Coal-Sth Australian </t>
  </si>
  <si>
    <t xml:space="preserve">Natural Gas-Steam </t>
  </si>
  <si>
    <t xml:space="preserve">Diesel </t>
  </si>
  <si>
    <t>kg N/ year</t>
  </si>
  <si>
    <t>Summary</t>
  </si>
  <si>
    <t>Spring</t>
  </si>
  <si>
    <t>Summer</t>
  </si>
  <si>
    <t>Autumn</t>
  </si>
  <si>
    <t>Winter</t>
  </si>
  <si>
    <t>Average</t>
  </si>
  <si>
    <t>Feed Intake (I)</t>
  </si>
  <si>
    <t>High</t>
  </si>
  <si>
    <t>Med-High</t>
  </si>
  <si>
    <t>Med</t>
  </si>
  <si>
    <t>Med-Low</t>
  </si>
  <si>
    <t>Low</t>
  </si>
  <si>
    <t>Carbon sequestration potential of trees</t>
  </si>
  <si>
    <t>Pinus Radiata - Pine</t>
  </si>
  <si>
    <t>Eucalyptus globulus - Blue gum</t>
  </si>
  <si>
    <t>Eucalyptus saligna - Sydney blue gum</t>
  </si>
  <si>
    <t>Eucalyptus grandis - Rose gum</t>
  </si>
  <si>
    <t>Comybia maculata - Spotted gum</t>
  </si>
  <si>
    <t>Acacia melanoxylon - Blackwood</t>
  </si>
  <si>
    <t>Eucalyptus camaldulensis - River red gum</t>
  </si>
  <si>
    <t>Eucalyptus sideroxylon - Ironbark</t>
  </si>
  <si>
    <t>Eucalyptus cladocalyx - Sugar gum</t>
  </si>
  <si>
    <t>Casuarina cunninghamiana - She oak</t>
  </si>
  <si>
    <t>Rainfall</t>
  </si>
  <si>
    <t>from</t>
  </si>
  <si>
    <t>to</t>
  </si>
  <si>
    <t>mm/yr</t>
  </si>
  <si>
    <t>m3/ha/yr</t>
  </si>
  <si>
    <t>dry-tonne/ m3</t>
  </si>
  <si>
    <t>weight</t>
  </si>
  <si>
    <t>C content</t>
  </si>
  <si>
    <t>t CO2e/ha</t>
  </si>
  <si>
    <r>
      <t xml:space="preserve">     - Carbon dioxide (CO</t>
    </r>
    <r>
      <rPr>
        <u val="single"/>
        <vertAlign val="subscript"/>
        <sz val="14"/>
        <color indexed="12"/>
        <rFont val="Times New Roman"/>
        <family val="1"/>
      </rPr>
      <t>2</t>
    </r>
    <r>
      <rPr>
        <u val="single"/>
        <sz val="14"/>
        <color indexed="12"/>
        <rFont val="Times New Roman"/>
        <family val="1"/>
      </rPr>
      <t>)</t>
    </r>
  </si>
  <si>
    <t>Liveweight</t>
  </si>
  <si>
    <t>Season</t>
  </si>
  <si>
    <t>Area of Trees Planted after 1990</t>
  </si>
  <si>
    <t>Type of Trees planted</t>
  </si>
  <si>
    <t>hectares</t>
  </si>
  <si>
    <t>Tree plantings (after 1990)</t>
  </si>
  <si>
    <t>Rainfall Selection</t>
  </si>
  <si>
    <t>High (&gt;700)</t>
  </si>
  <si>
    <t>Low (&lt;500)</t>
  </si>
  <si>
    <t>Med (500 - 700)</t>
  </si>
  <si>
    <t>Results</t>
  </si>
  <si>
    <t>Hydro or other clean Power</t>
  </si>
  <si>
    <t>Natural Gas-Turbine</t>
  </si>
  <si>
    <t>Cogen -Oil fired steam</t>
  </si>
  <si>
    <t>Annual Electricity Use</t>
  </si>
  <si>
    <t>Introduction</t>
  </si>
  <si>
    <t>Net Farm Emissions</t>
  </si>
  <si>
    <r>
      <t>Nitrous oxide (N</t>
    </r>
    <r>
      <rPr>
        <b/>
        <vertAlign val="subscript"/>
        <sz val="14"/>
        <rFont val="Times New Roman"/>
        <family val="1"/>
      </rPr>
      <t>2</t>
    </r>
    <r>
      <rPr>
        <b/>
        <sz val="14"/>
        <rFont val="Times New Roman"/>
        <family val="1"/>
      </rPr>
      <t>O)</t>
    </r>
  </si>
  <si>
    <r>
      <t>Carbon dioxide (CO</t>
    </r>
    <r>
      <rPr>
        <b/>
        <vertAlign val="subscript"/>
        <sz val="14"/>
        <rFont val="Times New Roman"/>
        <family val="1"/>
      </rPr>
      <t>2</t>
    </r>
    <r>
      <rPr>
        <b/>
        <sz val="14"/>
        <rFont val="Times New Roman"/>
        <family val="1"/>
      </rPr>
      <t>)</t>
    </r>
  </si>
  <si>
    <r>
      <t>Methane (CH</t>
    </r>
    <r>
      <rPr>
        <b/>
        <vertAlign val="subscript"/>
        <sz val="14"/>
        <rFont val="Times New Roman"/>
        <family val="1"/>
      </rPr>
      <t>4</t>
    </r>
    <r>
      <rPr>
        <b/>
        <sz val="14"/>
        <rFont val="Times New Roman"/>
        <family val="1"/>
      </rPr>
      <t>)</t>
    </r>
  </si>
  <si>
    <r>
      <t xml:space="preserve">     - Methane (CH</t>
    </r>
    <r>
      <rPr>
        <u val="single"/>
        <vertAlign val="subscript"/>
        <sz val="14"/>
        <color indexed="12"/>
        <rFont val="Times New Roman"/>
        <family val="1"/>
      </rPr>
      <t>4</t>
    </r>
    <r>
      <rPr>
        <u val="single"/>
        <sz val="14"/>
        <color indexed="12"/>
        <rFont val="Times New Roman"/>
        <family val="1"/>
      </rPr>
      <t>)</t>
    </r>
  </si>
  <si>
    <r>
      <t xml:space="preserve">     - Nitrous oxide (N</t>
    </r>
    <r>
      <rPr>
        <u val="single"/>
        <vertAlign val="subscript"/>
        <sz val="14"/>
        <color indexed="12"/>
        <rFont val="Times New Roman"/>
        <family val="1"/>
      </rPr>
      <t>2</t>
    </r>
    <r>
      <rPr>
        <u val="single"/>
        <sz val="14"/>
        <color indexed="12"/>
        <rFont val="Times New Roman"/>
        <family val="1"/>
      </rPr>
      <t>O)</t>
    </r>
  </si>
  <si>
    <t>Total</t>
  </si>
  <si>
    <t>Live weight gain</t>
  </si>
  <si>
    <t>%</t>
  </si>
  <si>
    <t>Crude Protein</t>
  </si>
  <si>
    <t>DMD</t>
  </si>
  <si>
    <t>kg/head/day</t>
  </si>
  <si>
    <t>Methane emissions from rumen fermentation</t>
  </si>
  <si>
    <t>Enter your farm data for each animal class and season</t>
  </si>
  <si>
    <t>Joe Bloggs</t>
  </si>
  <si>
    <t>Bulls&lt;1</t>
  </si>
  <si>
    <t>Steers&lt;1</t>
  </si>
  <si>
    <t>Cows 1 to 2</t>
  </si>
  <si>
    <t>Cows&lt;1</t>
  </si>
  <si>
    <t>Steers&gt;1</t>
  </si>
  <si>
    <t>State</t>
  </si>
  <si>
    <t>Region</t>
  </si>
  <si>
    <t>NSW/ACT</t>
  </si>
  <si>
    <t>Pilbara</t>
  </si>
  <si>
    <t>Kimberley</t>
  </si>
  <si>
    <t>SA</t>
  </si>
  <si>
    <t>TAS</t>
  </si>
  <si>
    <t>VIC</t>
  </si>
  <si>
    <t>QLD</t>
  </si>
  <si>
    <t>NT</t>
  </si>
  <si>
    <t>Units</t>
  </si>
  <si>
    <t>Data Input</t>
  </si>
  <si>
    <t>Methane Calculation</t>
  </si>
  <si>
    <t>MA = (LC x FA)  + ((1-LC) x 1)</t>
  </si>
  <si>
    <t>GEI = (I x 18.4)</t>
  </si>
  <si>
    <t>MJ/head/day</t>
  </si>
  <si>
    <t>% gross energy intake as methane</t>
  </si>
  <si>
    <t>M = Y / 100 x GEI / F</t>
  </si>
  <si>
    <t>Temperate/tropical</t>
  </si>
  <si>
    <t>Nitrogen Fertiliser Pasture</t>
  </si>
  <si>
    <t>Nitrogen Fertiliser Crops</t>
  </si>
  <si>
    <t>N Fertiliser Pastures</t>
  </si>
  <si>
    <t>Eucalyptus nitens - Shining gum</t>
  </si>
  <si>
    <t>Warm</t>
  </si>
  <si>
    <t>Cool</t>
  </si>
  <si>
    <t>Grand total</t>
  </si>
  <si>
    <t>Methane emissions from manure in the field</t>
  </si>
  <si>
    <t>Enter Y or N</t>
  </si>
  <si>
    <t>Is your property in orange zone below?</t>
  </si>
  <si>
    <t>The model is based on the Australian National Greenhouse Gas Inventory method, as published on the Australian Government Department of Climate Change and Energy Efficiency in April 2012. For more information, click on the link below:</t>
  </si>
  <si>
    <t>http://www.climatechange.gov.au/en/publications/greenhouse-acctg/~/media/publications/greenhouse-acctg/NationalInventoryReport-2010-Vol-1.pdf</t>
  </si>
  <si>
    <t xml:space="preserve">Methane emissions from livestock systems are considered as energy loss in the system. This means that if they are not released from the animal body, they can be re-gained in animal products such as milk and meat, leading to improved productivity. The main factors affecting methane production are feed type and quality, level of feed intake, and type, sex and  age of the animal. Enteric methane production is minimised by feeding high quality forages (perennial ryegrass/white clover pasture), particularly where the protein to energy ratio in the ration has been balanced through supplementary feeding strategies. Any mitigation strategy, however, according to the current policy requirements (Carbon Farming Initiative, CFI 2010), must lead to reduced emissions beyond what is common practice in a sector. For other policy requirements and more information, visit Australian Government Department of Climate Change and Energy Efficiency website or refer to CFI consultation paper.                                                                                                                                                                                                                                                                                                            
</t>
  </si>
  <si>
    <r>
      <t xml:space="preserve">Strategies to reduce enteric methane production include:
</t>
    </r>
    <r>
      <rPr>
        <b/>
        <sz val="14"/>
        <rFont val="Times New Roman"/>
        <family val="1"/>
      </rPr>
      <t xml:space="preserve">1. Animal manipulation : </t>
    </r>
    <r>
      <rPr>
        <sz val="14"/>
        <rFont val="Times New Roman"/>
        <family val="1"/>
      </rPr>
      <t xml:space="preserve">Breeding animals with greater feed-conversion efficiency may reduce CH4 emissions from cows.
</t>
    </r>
  </si>
  <si>
    <r>
      <rPr>
        <b/>
        <sz val="14"/>
        <rFont val="Times New Roman"/>
        <family val="1"/>
      </rPr>
      <t xml:space="preserve">2. Diet manipulation : </t>
    </r>
    <r>
      <rPr>
        <sz val="14"/>
        <rFont val="Times New Roman"/>
        <family val="1"/>
      </rPr>
      <t>Higher amount of forage to concentrate ratio determines a higher amount of acetate to propionate ratio and therefore higher CH4 productions. Dietary fats are used to reduce CH4 emissions. Addition of fat is limited to 6-7% of the dietary dry matter (DM) in order not to cause reductions in DM intake (DMI). Note that it is not widely acknowledged whether the reductions via fat supplementation are permanent over the whole production period</t>
    </r>
  </si>
  <si>
    <t xml:space="preserve">     - Direct emissions from N fertiliser application (both synthetic and organic), and animal waste deposition (faeces and urine), and</t>
  </si>
  <si>
    <t xml:space="preserve">     - Indirect emissions from ammonia volatilisation and nitrate leaching &amp; runoff</t>
  </si>
  <si>
    <t>Farmers should consider strategic fertiliser management practices in order to reduce or maintain their total N2O emissions. It is important to remember that responses to N fertiliser will vary according to season and the fertiliser application rate. N fertiliser should only be applied when the pasture is actively growing and can utilise the N. A moderate level of N fertiliser application is recommended to be around 50 kg N/ha in any single application. The optimum time to apply N fertiliser is usually the period from grazing up to a maximum two weeks after grazing. Some of the factors that limit the pasture growth rate and sward quality and therefore reduce the responses to N fertiliser are soil type, low soil fertility, cold and excessively wet or dry weather conditions.</t>
  </si>
  <si>
    <t>Planting trees and carbon sequestration</t>
  </si>
  <si>
    <t xml:space="preserve">To allow users to explore the value of planting trees, an option is included in the model to choose the type of trees and the rainfall zone, with the total carbon removed by trees being subtracted off the farm greenhouse gas emission total. Remember, this is a guide only, as actual tree growth depends on the local growing conditions and the carbon sequestered varies with the age of the plantation. </t>
  </si>
  <si>
    <t xml:space="preserve">Methane is the major GHG produced at beef farms and is primarily sourced from:
1. Enteric fermentation and
2. Manure management.  
</t>
  </si>
  <si>
    <r>
      <t>Direct CO</t>
    </r>
    <r>
      <rPr>
        <vertAlign val="subscript"/>
        <sz val="14"/>
        <rFont val="Times New Roman"/>
        <family val="1"/>
      </rPr>
      <t>2</t>
    </r>
    <r>
      <rPr>
        <sz val="14"/>
        <rFont val="Times New Roman"/>
        <family val="1"/>
      </rPr>
      <t xml:space="preserve"> emissions from beef farms are mainly sourced from diesel and electricity consumption.</t>
    </r>
  </si>
  <si>
    <r>
      <t>CO</t>
    </r>
    <r>
      <rPr>
        <vertAlign val="subscript"/>
        <sz val="11"/>
        <rFont val="Times New Roman"/>
        <family val="1"/>
      </rPr>
      <t>2</t>
    </r>
    <r>
      <rPr>
        <sz val="11"/>
        <rFont val="Times New Roman"/>
        <family val="1"/>
      </rPr>
      <t xml:space="preserve"> -Energy</t>
    </r>
  </si>
  <si>
    <r>
      <t>CO</t>
    </r>
    <r>
      <rPr>
        <vertAlign val="subscript"/>
        <sz val="11"/>
        <rFont val="Times New Roman"/>
        <family val="1"/>
      </rPr>
      <t>2</t>
    </r>
  </si>
  <si>
    <r>
      <t>CH</t>
    </r>
    <r>
      <rPr>
        <vertAlign val="subscript"/>
        <sz val="11"/>
        <rFont val="Times New Roman"/>
        <family val="1"/>
      </rPr>
      <t>4</t>
    </r>
    <r>
      <rPr>
        <sz val="11"/>
        <rFont val="Times New Roman"/>
        <family val="1"/>
      </rPr>
      <t xml:space="preserve"> - Enteric</t>
    </r>
  </si>
  <si>
    <r>
      <t>CH</t>
    </r>
    <r>
      <rPr>
        <vertAlign val="subscript"/>
        <sz val="11"/>
        <rFont val="Times New Roman"/>
        <family val="1"/>
      </rPr>
      <t>4</t>
    </r>
  </si>
  <si>
    <r>
      <t>CH</t>
    </r>
    <r>
      <rPr>
        <vertAlign val="subscript"/>
        <sz val="11"/>
        <rFont val="Times New Roman"/>
        <family val="1"/>
      </rPr>
      <t>4</t>
    </r>
    <r>
      <rPr>
        <sz val="11"/>
        <rFont val="Times New Roman"/>
        <family val="1"/>
      </rPr>
      <t xml:space="preserve"> - Manure</t>
    </r>
  </si>
  <si>
    <r>
      <t>N</t>
    </r>
    <r>
      <rPr>
        <vertAlign val="subscript"/>
        <sz val="11"/>
        <rFont val="Times New Roman"/>
        <family val="1"/>
      </rPr>
      <t>2</t>
    </r>
    <r>
      <rPr>
        <sz val="11"/>
        <rFont val="Times New Roman"/>
        <family val="1"/>
      </rPr>
      <t>O</t>
    </r>
  </si>
  <si>
    <r>
      <t>N</t>
    </r>
    <r>
      <rPr>
        <vertAlign val="subscript"/>
        <sz val="11"/>
        <rFont val="Times New Roman"/>
        <family val="1"/>
      </rPr>
      <t>2</t>
    </r>
    <r>
      <rPr>
        <sz val="11"/>
        <rFont val="Times New Roman"/>
        <family val="1"/>
      </rPr>
      <t>O - N Fertiliser</t>
    </r>
  </si>
  <si>
    <r>
      <t>N</t>
    </r>
    <r>
      <rPr>
        <vertAlign val="subscript"/>
        <sz val="11"/>
        <rFont val="Times New Roman"/>
        <family val="1"/>
      </rPr>
      <t>2</t>
    </r>
    <r>
      <rPr>
        <sz val="11"/>
        <rFont val="Times New Roman"/>
        <family val="1"/>
      </rPr>
      <t>O - Indirect</t>
    </r>
  </si>
  <si>
    <r>
      <t>N</t>
    </r>
    <r>
      <rPr>
        <vertAlign val="subscript"/>
        <sz val="11"/>
        <rFont val="Times New Roman"/>
        <family val="1"/>
      </rPr>
      <t>2</t>
    </r>
    <r>
      <rPr>
        <sz val="11"/>
        <rFont val="Times New Roman"/>
        <family val="1"/>
      </rPr>
      <t>O - Dung, Urine</t>
    </r>
  </si>
  <si>
    <t>head</t>
  </si>
  <si>
    <t>kg</t>
  </si>
  <si>
    <t>kg/day</t>
  </si>
  <si>
    <t>Seasons</t>
  </si>
  <si>
    <t xml:space="preserve">Liveweight </t>
  </si>
  <si>
    <r>
      <t>I = (1.185 + 0.00454 x W - 0.0000026 x W^2 + 0.315 x LWG)^2</t>
    </r>
    <r>
      <rPr>
        <b/>
        <sz val="12"/>
        <rFont val="Times New Roman"/>
        <family val="1"/>
      </rPr>
      <t xml:space="preserve"> x MA</t>
    </r>
  </si>
  <si>
    <t>4A.1b_1</t>
  </si>
  <si>
    <t>kg DM/head/day</t>
  </si>
  <si>
    <t>Additional intake for milk production (MA)</t>
  </si>
  <si>
    <t>4A.1b_2</t>
  </si>
  <si>
    <t>FA = feed adjustment</t>
  </si>
  <si>
    <t>Appendix 6.B.5</t>
  </si>
  <si>
    <t>Proportion of cows (LC)</t>
  </si>
  <si>
    <t>Feed adjustment (FA)</t>
  </si>
  <si>
    <t>Gross Energy Intake (GEI)</t>
  </si>
  <si>
    <t>4A.1b_3</t>
  </si>
  <si>
    <t>Intake relative to maintenance (L)</t>
  </si>
  <si>
    <t>4A.1b_4</t>
  </si>
  <si>
    <t>L = I / (1.185 + 0.00454 x W - 0.0000026 W^2 + (0.315 x 0))^2</t>
  </si>
  <si>
    <t>4A.1b_5</t>
  </si>
  <si>
    <t xml:space="preserve">Y = 1.3 + 0.112 x DMD + L x (2.37 - 0.050 x DMD) </t>
  </si>
  <si>
    <t>4A.1b_6a</t>
  </si>
  <si>
    <t>kg CH4/head/day</t>
  </si>
  <si>
    <t>Daily Methane Yield (Temperate pastures)</t>
  </si>
  <si>
    <t>Daily Methane Yield (Tropical pastures)</t>
  </si>
  <si>
    <t>M = (34.9 x I - 30.8) / 1000</t>
  </si>
  <si>
    <t>4A.1b_6b</t>
  </si>
  <si>
    <t xml:space="preserve">Daily Methane Yield </t>
  </si>
  <si>
    <t>4A.1b_8</t>
  </si>
  <si>
    <t>Gg CH4/farm/season</t>
  </si>
  <si>
    <t>Gg CH4/farm/year</t>
  </si>
  <si>
    <t>Gg CO2-e/farm/year</t>
  </si>
  <si>
    <t>t CO2-e/farm/year</t>
  </si>
  <si>
    <t>Methane production from manure</t>
  </si>
  <si>
    <t>M = I x (1 - DMD) x MEF</t>
  </si>
  <si>
    <t>Methane emission factor (MEF)</t>
  </si>
  <si>
    <t>Total CH4 production</t>
  </si>
  <si>
    <t>Total CH4 emissions from manure of free-range beef cattle</t>
  </si>
  <si>
    <t>E = (N x M x 91.25) x 10^-6</t>
  </si>
  <si>
    <t>4B.1b_1</t>
  </si>
  <si>
    <t>4B.1b_2</t>
  </si>
  <si>
    <t>Data input</t>
  </si>
  <si>
    <t>Crude protein (CP) content of feed</t>
  </si>
  <si>
    <t>Faecal nitrous oxide calculation</t>
  </si>
  <si>
    <t>4B.1b_3</t>
  </si>
  <si>
    <t>CPI = I x CP + (0.032 x MC)</t>
  </si>
  <si>
    <t>Crude protein intake (CPI) of beef cattle</t>
  </si>
  <si>
    <t>Nitrogen excreted in faeces (F)</t>
  </si>
  <si>
    <t>4B.1b_4</t>
  </si>
  <si>
    <t>ME from DMD</t>
  </si>
  <si>
    <t>MJ/kg DM</t>
  </si>
  <si>
    <t>F = {0.3 x (CPI x (1 - [(DMD + 10) / 100])) + 0.105 x (ME x I x 0.008) + 0.08 x (0.032 x MC) + (0.0152 x I)} / 6.25</t>
  </si>
  <si>
    <t>Nitrogen Retained by the body (NR)</t>
  </si>
  <si>
    <t>NR = {(0.032 x MP) + {0.212 - 0.008 x (L - 2) - [(0.140 - 0.008 x (L - 2)) / (1 + exp x (-6 x (Z -0.4)))]} x (LWG x 0.92)} / 6.25</t>
  </si>
  <si>
    <t>4B.1b_5</t>
  </si>
  <si>
    <t>Beef cattle reference weight to calculate relative size (Z)</t>
  </si>
  <si>
    <t>Tasmania</t>
  </si>
  <si>
    <t>WA</t>
  </si>
  <si>
    <t>Victoria</t>
  </si>
  <si>
    <t>Queensland</t>
  </si>
  <si>
    <t>Milk production (MP)</t>
  </si>
  <si>
    <t>Relative size (Z)</t>
  </si>
  <si>
    <t>Table 6.B.6</t>
  </si>
  <si>
    <t>Nitrogen excreted in urine (U)</t>
  </si>
  <si>
    <t>4B.1B_6</t>
  </si>
  <si>
    <t>U = (CPI / 6.25) - NR - F - [(1.1 x 10^-4 x W^0.75) / 6.25]</t>
  </si>
  <si>
    <t xml:space="preserve">Total seasonal faecal (AF) nitrogen excreted </t>
  </si>
  <si>
    <t>Total seasonal urinary (AU) nitrogen excreted</t>
  </si>
  <si>
    <t>Seasonal faecal and urinary nitrogen excreted (AE)</t>
  </si>
  <si>
    <t>AE =AF + AU</t>
  </si>
  <si>
    <t>Gg/farm/season</t>
  </si>
  <si>
    <t>The total emissions of nitrous oxide from different manure management systems (Total MMS)</t>
  </si>
  <si>
    <t>E = AE x MMS x EF x Cg</t>
  </si>
  <si>
    <t>Table 6.12</t>
  </si>
  <si>
    <t>N2O-N kg/N excreted</t>
  </si>
  <si>
    <t>EF = 0</t>
  </si>
  <si>
    <t>Factor to convert elemental mass of N2O to molecular mass (Cg)</t>
  </si>
  <si>
    <t>Gg N2O/farm/season</t>
  </si>
  <si>
    <t>4B.1b_8c</t>
  </si>
  <si>
    <t>4B.1b_7a</t>
  </si>
  <si>
    <t>4B.1b_7b</t>
  </si>
  <si>
    <t>MMS = 100% (in the case of beef cattle, all manure is voided at pasture)</t>
  </si>
  <si>
    <t>MMS = 8 Pasture range and paddock</t>
  </si>
  <si>
    <t xml:space="preserve">Grand total </t>
  </si>
  <si>
    <t>Gg N2O/farm/year</t>
  </si>
  <si>
    <t>Nitrous Oxide production from different manure management systems (MMS)</t>
  </si>
  <si>
    <t>Nitrous Oxide production from agricultural soils</t>
  </si>
  <si>
    <t>N2O emissions from synthetic fertiliser</t>
  </si>
  <si>
    <t>kg N/season</t>
  </si>
  <si>
    <t>Mass of fertiliser appplied (M)</t>
  </si>
  <si>
    <t>M = TM x FN</t>
  </si>
  <si>
    <t>TM = total mass of fertiliser</t>
  </si>
  <si>
    <t>FN = fraction of N applied to production system</t>
  </si>
  <si>
    <t>4D1_1</t>
  </si>
  <si>
    <t>Appendix 6.H.1</t>
  </si>
  <si>
    <t>N Fertiliser crops</t>
  </si>
  <si>
    <t>Gg N/season</t>
  </si>
  <si>
    <t>Annual N2O emissions from the addition of synthetic fertiliser (E)</t>
  </si>
  <si>
    <t>E = (M x EF x Cg)</t>
  </si>
  <si>
    <t>4D1_2</t>
  </si>
  <si>
    <t>EF = Emission factor</t>
  </si>
  <si>
    <t>Gg N2O-N/Gg N</t>
  </si>
  <si>
    <t>Table 6.22</t>
  </si>
  <si>
    <t>Production system</t>
  </si>
  <si>
    <t>Irrigated pasture</t>
  </si>
  <si>
    <t>Irrigated crop</t>
  </si>
  <si>
    <t>Non-irrigated pasture</t>
  </si>
  <si>
    <t>Non-irrigated crop</t>
  </si>
  <si>
    <t>Sugar cane</t>
  </si>
  <si>
    <t>Cotton</t>
  </si>
  <si>
    <t>Horticulture</t>
  </si>
  <si>
    <t>Gg N2O/season</t>
  </si>
  <si>
    <t>Grand total from fertiliser application</t>
  </si>
  <si>
    <t>Gg N2O/year</t>
  </si>
  <si>
    <t>N2O emissions from animal waste (manure) applied to soils</t>
  </si>
  <si>
    <t>The nitrogen content of animal manure applied to agricultural soils</t>
  </si>
  <si>
    <t>N2O emissions from animal waste (manure)</t>
  </si>
  <si>
    <t>E = MN soil x EF x Cg</t>
  </si>
  <si>
    <t>4D1_4</t>
  </si>
  <si>
    <t>Biological nitrogen fixation</t>
  </si>
  <si>
    <t>M = P x R x DM x CC x NC</t>
  </si>
  <si>
    <t>4D1_5</t>
  </si>
  <si>
    <t>M = mass of N fixed by crops and pastures</t>
  </si>
  <si>
    <t>Gg N</t>
  </si>
  <si>
    <t>Not used currently</t>
  </si>
  <si>
    <t>P = annual production of crop</t>
  </si>
  <si>
    <t>Gg</t>
  </si>
  <si>
    <t>R = residue to crop ratio</t>
  </si>
  <si>
    <t>kg crop residue/kg crop</t>
  </si>
  <si>
    <t xml:space="preserve">DM = dry matter content </t>
  </si>
  <si>
    <t>kg dry weight/kg crop residue</t>
  </si>
  <si>
    <t>CC = mass fraction of carbon in crop residue</t>
  </si>
  <si>
    <t>NC = nitrogen to carbon ratio in crop residue</t>
  </si>
  <si>
    <t>Annual N2O production from N fixing crops</t>
  </si>
  <si>
    <t>E = M x EF x Cg</t>
  </si>
  <si>
    <t>Gg N2O</t>
  </si>
  <si>
    <t>4D1_6</t>
  </si>
  <si>
    <t>EF = 0.0125</t>
  </si>
  <si>
    <t>The application of crop residues</t>
  </si>
  <si>
    <t xml:space="preserve">The mass of N in crop residues returned to soils </t>
  </si>
  <si>
    <t>M = P x R x DM x CC x NC x (1- F - FFOD)</t>
  </si>
  <si>
    <t>4D1_7</t>
  </si>
  <si>
    <t>M = mass of N in crop residues</t>
  </si>
  <si>
    <t>F = fraction of the crop that is burnt</t>
  </si>
  <si>
    <t>FFOD = fraction of the crop that is removed</t>
  </si>
  <si>
    <t xml:space="preserve">Annual N2O production from crop residues </t>
  </si>
  <si>
    <t>4D1_8</t>
  </si>
  <si>
    <t>Annual N2O production from cultivation of histosols</t>
  </si>
  <si>
    <t>E = A x EF x Cg x 10^-6</t>
  </si>
  <si>
    <t>4D1_9</t>
  </si>
  <si>
    <t xml:space="preserve">A = area of cultivated histosols </t>
  </si>
  <si>
    <t>EF = 8</t>
  </si>
  <si>
    <t>kg N2O-N/ha</t>
  </si>
  <si>
    <t>Animal production</t>
  </si>
  <si>
    <t>The faecal and urinary nitrogen excreted on pasture and paddock</t>
  </si>
  <si>
    <t>4D2</t>
  </si>
  <si>
    <t>FN soil = AF x MMS</t>
  </si>
  <si>
    <t>4D2_1</t>
  </si>
  <si>
    <t>UN soil = AU x MMS</t>
  </si>
  <si>
    <t>4D2_2</t>
  </si>
  <si>
    <t>Total N2O production from animal waste voided in the field by grazing livestock</t>
  </si>
  <si>
    <t>E = (FN soil x EF x Cg) + (UN soil x EF x Cg)</t>
  </si>
  <si>
    <t>EF (faeces) =</t>
  </si>
  <si>
    <t>EF (urine) =</t>
  </si>
  <si>
    <t>Total N2O emissions from manure, faeces and urine</t>
  </si>
  <si>
    <t>4D1_3</t>
  </si>
  <si>
    <t>SW</t>
  </si>
  <si>
    <t>Proportion of cows lactating</t>
  </si>
  <si>
    <t>MN soil = ((AE x MMS) - (E / Cg) - MNatm</t>
  </si>
  <si>
    <t>MN soil</t>
  </si>
  <si>
    <t>4D2_3</t>
  </si>
  <si>
    <t>Atmospheric nitrogen deposition</t>
  </si>
  <si>
    <t>M = TM x FracGASF</t>
  </si>
  <si>
    <t>4D3_1</t>
  </si>
  <si>
    <t xml:space="preserve">M = mass of synthetic fertiliser volatilised </t>
  </si>
  <si>
    <t>FracGASF =0.1</t>
  </si>
  <si>
    <t>Gg N/Gg applied</t>
  </si>
  <si>
    <t>Gg N/farm/season</t>
  </si>
  <si>
    <t xml:space="preserve">The mass of animal waste volatilised </t>
  </si>
  <si>
    <t>M = AE x MMS x FracGASM</t>
  </si>
  <si>
    <t>FracGASM = the fraction of N volatilised in each MMS</t>
  </si>
  <si>
    <t>4D3_2</t>
  </si>
  <si>
    <t>Table 6.31</t>
  </si>
  <si>
    <t>The mass of savanna burning and field burning of agricultural residue NOx-N emissions that volatilise (M)</t>
  </si>
  <si>
    <t>M = E / (46/14)</t>
  </si>
  <si>
    <t>4D3_3</t>
  </si>
  <si>
    <t>E = NOx emissions from savanna burning and field burning of agricultural residues</t>
  </si>
  <si>
    <t>Gg NOx</t>
  </si>
  <si>
    <t>46/14 = factor to convert elemental mass of NOx to molecular mass</t>
  </si>
  <si>
    <t>Annual N2O production from atmospheric deposition (indirect ammonia)</t>
  </si>
  <si>
    <t>4D3_4</t>
  </si>
  <si>
    <t>M = mass of N volatilised from subset k</t>
  </si>
  <si>
    <t>EF = 0.01</t>
  </si>
  <si>
    <t>Total CO2-e emissions from indirect ammonia losses</t>
  </si>
  <si>
    <t>Leaching of organic nitrogen and subsequent denitrification in rivers and estuaries</t>
  </si>
  <si>
    <t>The mass of fertiliser N applied to soils that is lost through leaching and runoff (M)</t>
  </si>
  <si>
    <t>M = M x FracWET x FracLEACH</t>
  </si>
  <si>
    <t>4D3_5</t>
  </si>
  <si>
    <t>M = mass of fertiliser in each production system</t>
  </si>
  <si>
    <t>Appendix 6.J.1</t>
  </si>
  <si>
    <t>The ratio of mean annual evapotranspiration to annual precipitation (Et/P)</t>
  </si>
  <si>
    <t>FracWET  (fraction of N available for leaching and runoff)</t>
  </si>
  <si>
    <t>FracLEACH</t>
  </si>
  <si>
    <t>The mass of animal waste N applied to soils that is lost through leaching and runoff (M)</t>
  </si>
  <si>
    <t>M = (Mnsoil + UN soil + FN soil) x FracWET x FracLEACH</t>
  </si>
  <si>
    <t>4D3_6</t>
  </si>
  <si>
    <t>Mnsoil = mass of manure N applied to soils (animal wastes applied to soils)</t>
  </si>
  <si>
    <t>Unsoil = mass of urinary N applied to soils (animal production)</t>
  </si>
  <si>
    <t>Fnsoil =mass of faecal N applied to soils (animal production)</t>
  </si>
  <si>
    <t>N Fertiliser Pastures TM</t>
  </si>
  <si>
    <t>Nitrogen fertiliser crops TM</t>
  </si>
  <si>
    <t>Total N2O production from leaching and runoff</t>
  </si>
  <si>
    <t>4D3_7</t>
  </si>
  <si>
    <t>M = mass of N lost through leaching and runoff</t>
  </si>
  <si>
    <t>EF (emission factor)</t>
  </si>
  <si>
    <t>Total CO2-e emissions from leaching and runoff (indirect nitrate)</t>
  </si>
  <si>
    <t>Total CO2-e emissions from ammonia and nitrate</t>
  </si>
  <si>
    <t>Softwoods</t>
  </si>
  <si>
    <t>Hardwood</t>
  </si>
  <si>
    <t>Speciality Hardwoods</t>
  </si>
  <si>
    <t>Annual diesel consumption (F)</t>
  </si>
  <si>
    <t>Energy density for diesel (D)</t>
  </si>
  <si>
    <t>Oxidation factor for CO2 (P)</t>
  </si>
  <si>
    <t>Emission factor for CO2 (ADO) (EF)</t>
  </si>
  <si>
    <t>Annual electricity use (F)</t>
  </si>
  <si>
    <t>L/year</t>
  </si>
  <si>
    <t>Gg/kL</t>
  </si>
  <si>
    <t>Gg CO2/PJ</t>
  </si>
  <si>
    <t>kWh</t>
  </si>
  <si>
    <t>Tonnes CO2-e/KWh</t>
  </si>
  <si>
    <t>CO2 emissions from diesel use</t>
  </si>
  <si>
    <t>E = F x D x P x EF x 10^-6</t>
  </si>
  <si>
    <t>Gg CO2</t>
  </si>
  <si>
    <t>CO2 emission factor for ADO</t>
  </si>
  <si>
    <t>g CO2/PJ</t>
  </si>
  <si>
    <t>CH4</t>
  </si>
  <si>
    <t>N2O</t>
  </si>
  <si>
    <t>SO2</t>
  </si>
  <si>
    <t>CO2 emissions from diesel use for non-CO2 gasses</t>
  </si>
  <si>
    <t>t CO2-e</t>
  </si>
  <si>
    <t>Total CO2-e emissions from diesel use</t>
  </si>
  <si>
    <t>CO2 emissions from electricity use</t>
  </si>
  <si>
    <t>E = F x EF</t>
  </si>
  <si>
    <t>Total CO2-e emissions from diesel and electricity</t>
  </si>
  <si>
    <t>Australian Current Best Performance for Fuel Class</t>
  </si>
  <si>
    <t>Fuel type</t>
  </si>
  <si>
    <t>Thermal efficiency (%)</t>
  </si>
  <si>
    <t>kg CO2/MWh</t>
  </si>
  <si>
    <t>t CO2/kWh</t>
  </si>
  <si>
    <t>Note no input can be made from this page - to input your data go to the Data Input tab</t>
  </si>
  <si>
    <t>Farm name:</t>
  </si>
  <si>
    <t>No input is required in this section</t>
  </si>
  <si>
    <t>Where does the farm draw its electricity from?</t>
  </si>
  <si>
    <t>Choose the type of trees planted</t>
  </si>
  <si>
    <t>Chose rainfall in your area</t>
  </si>
  <si>
    <t>This tool may be of assistance to you, but the University of Melbourne and the State of Victoria and its employees do not guarantee that the tool or information contained therein is without flaw of any kind, or is wholly appropriate for your particular purposes and therefore disclaims all liability for any error, loss or other consequence which may arise from reliance on any information contained herein.
Please Note:
a) These methods are continually changing, so we take no responsibility for the currency of the tool, and
b) Professional advice should be sought on the interpretation of the results.</t>
  </si>
  <si>
    <t>SW WA</t>
  </si>
  <si>
    <t>Feed adjustment</t>
  </si>
  <si>
    <t>The three main greenhouse gasses (GHG) emitted at a beef farm scale and contribute to global warming are:</t>
  </si>
  <si>
    <t>By entering in some simple data, which most beef farmers are likely to know, the model presents the user with a greenhouse gas emission profile for their farm. The model also then breaks down these greenhouse gas emissions into the various sources, and where they are coming from on the farm. The user can then conduct some "What if" scenarios, to explore the greenhouse gas impact of changes to farm management.</t>
  </si>
  <si>
    <r>
      <t xml:space="preserve"> N</t>
    </r>
    <r>
      <rPr>
        <vertAlign val="subscript"/>
        <sz val="14"/>
        <rFont val="Times New Roman"/>
        <family val="1"/>
      </rPr>
      <t>2</t>
    </r>
    <r>
      <rPr>
        <sz val="14"/>
        <rFont val="Times New Roman"/>
        <family val="1"/>
      </rPr>
      <t xml:space="preserve">O emissions in beef farms are sourced primarily from: </t>
    </r>
  </si>
  <si>
    <t>Steers 1 to 2</t>
  </si>
  <si>
    <t>Weaners&lt;1</t>
  </si>
  <si>
    <t>Cows&gt;3</t>
  </si>
  <si>
    <t>Steers 2 to 3</t>
  </si>
  <si>
    <t>Steers&gt;3</t>
  </si>
  <si>
    <t>N</t>
  </si>
  <si>
    <t>The objective of this tool is to create awareness of the various sources of greenhouse gas emissions on beef farms, to stimulate thinking and action aimed at reducing these emissions while further improving farming efficiency.</t>
  </si>
  <si>
    <r>
      <rPr>
        <b/>
        <sz val="14"/>
        <rFont val="Times New Roman"/>
        <family val="1"/>
      </rPr>
      <t xml:space="preserve">3. Rumen manipulation : </t>
    </r>
    <r>
      <rPr>
        <sz val="14"/>
        <rFont val="Times New Roman"/>
        <family val="1"/>
      </rPr>
      <t>This may include vaccination against methanogens, or bacteriophages or bacteriocins as biological control strategies, or monensin as antibiotic. The use of probiotics, Archaeal viruses, reductive acetogens, methane oxidisers and propionate enhancers are new promising strategies to reduce CH4 emissions from beef cattle. However, their in-vivo assessment requires further research.</t>
    </r>
  </si>
  <si>
    <t xml:space="preserve">The total N2O emissions on beef farms are directly related to fertiliser and manure application rates. When intensive N fertilisers are applied but not utilised by plant growth, the proportion of N that is not utilised is lost to the environment through volatilisation, leaching and/or denitrification, producing various forms of N such as NH3, NO3 and N2O. Under grazing conditions, the major source of NH3 volatilisation is assumed to derive from urine. Denitrification rate, and thus N2O emissions, are maximised in warm and waterlogged soils, with liberal soil nitrate present. </t>
  </si>
  <si>
    <t>F = annual diesel consumption</t>
  </si>
  <si>
    <t>D = energy density for diesel</t>
  </si>
  <si>
    <t>P = oxidation factor for CO2</t>
  </si>
  <si>
    <t>EF = emission factor</t>
  </si>
  <si>
    <t>F = Annual electricity use</t>
  </si>
  <si>
    <t>Emission factor (electricity) (EF)</t>
  </si>
  <si>
    <t>Years</t>
  </si>
  <si>
    <t>Inventory reference</t>
  </si>
  <si>
    <t>kg N/ha</t>
  </si>
  <si>
    <t xml:space="preserve">Livestock numbers </t>
  </si>
  <si>
    <t>Liveweight gain (LWG)</t>
  </si>
  <si>
    <t>kg/head</t>
  </si>
  <si>
    <t xml:space="preserve">Dry matter digestibility (DMD) </t>
  </si>
  <si>
    <t>Livestock numbers</t>
  </si>
  <si>
    <t>LC = proportions of cows lactating</t>
  </si>
  <si>
    <t>Dry matter digestibility (DMD)</t>
  </si>
  <si>
    <r>
      <t>t CO</t>
    </r>
    <r>
      <rPr>
        <b/>
        <vertAlign val="subscript"/>
        <sz val="11"/>
        <rFont val="Times New Roman"/>
        <family val="1"/>
      </rPr>
      <t>2</t>
    </r>
    <r>
      <rPr>
        <b/>
        <sz val="11"/>
        <rFont val="Times New Roman"/>
        <family val="1"/>
      </rPr>
      <t>e/farm</t>
    </r>
  </si>
  <si>
    <t>Beef Grazing  - Greenhouse Accounting Framework (Northern)</t>
  </si>
  <si>
    <t>Welcome to the Beef Greenhouse Accounting Framework Northern (B-GAFN)</t>
  </si>
  <si>
    <t>Crude Protein (CP)</t>
  </si>
  <si>
    <r>
      <t xml:space="preserve">E = </t>
    </r>
    <r>
      <rPr>
        <b/>
        <sz val="12"/>
        <rFont val="Times New Roman"/>
        <family val="1"/>
      </rPr>
      <t>(91.25 x N</t>
    </r>
    <r>
      <rPr>
        <b/>
        <sz val="12"/>
        <rFont val="Times New Roman"/>
        <family val="1"/>
      </rPr>
      <t xml:space="preserve"> x M</t>
    </r>
    <r>
      <rPr>
        <b/>
        <sz val="12"/>
        <rFont val="Times New Roman"/>
        <family val="1"/>
      </rPr>
      <t>) x 10</t>
    </r>
    <r>
      <rPr>
        <b/>
        <vertAlign val="superscript"/>
        <sz val="12"/>
        <rFont val="Times New Roman"/>
        <family val="1"/>
      </rPr>
      <t>-6</t>
    </r>
  </si>
  <si>
    <t>AF = (91.25 x N x F) x 10^-6</t>
  </si>
  <si>
    <t>AU = (91.25 x N x U) x 10^-6</t>
  </si>
  <si>
    <t>NB! See notes on cells</t>
  </si>
  <si>
    <t>Milk - Spring/winter</t>
  </si>
  <si>
    <t>-Summer/Autumn</t>
  </si>
  <si>
    <t>ha/y</t>
  </si>
  <si>
    <t>Area (A)</t>
  </si>
  <si>
    <t>Area burned (Ab)</t>
  </si>
  <si>
    <t>Patchyness (P)</t>
  </si>
  <si>
    <t>Early or late season burn</t>
  </si>
  <si>
    <t>Early/Late</t>
  </si>
  <si>
    <t>early</t>
  </si>
  <si>
    <t>Table 1: Burning Efficiency</t>
  </si>
  <si>
    <t>Fine</t>
  </si>
  <si>
    <t>Coarse</t>
  </si>
  <si>
    <t>Heavy</t>
  </si>
  <si>
    <t>Shrub</t>
  </si>
  <si>
    <t>Table 2: Fuel loads for coarse, heavy and shrub fuel size classes</t>
  </si>
  <si>
    <t>Vegetation class</t>
  </si>
  <si>
    <t>Fuel size class</t>
  </si>
  <si>
    <t>EOF</t>
  </si>
  <si>
    <t>EW</t>
  </si>
  <si>
    <t>SH</t>
  </si>
  <si>
    <t>Early Dry Season</t>
  </si>
  <si>
    <t>Late Dry Season</t>
  </si>
  <si>
    <r>
      <t>Table 3: Fuel accumulation values for fine fuels (t ha</t>
    </r>
    <r>
      <rPr>
        <b/>
        <vertAlign val="superscript"/>
        <sz val="12"/>
        <rFont val="Times New Roman"/>
        <family val="1"/>
      </rPr>
      <t>-1</t>
    </r>
    <r>
      <rPr>
        <b/>
        <sz val="12"/>
        <rFont val="Times New Roman"/>
        <family val="1"/>
      </rPr>
      <t>)</t>
    </r>
  </si>
  <si>
    <t xml:space="preserve">Vegetation class </t>
  </si>
  <si>
    <t>YSLB (n)</t>
  </si>
  <si>
    <t>&gt;5</t>
  </si>
  <si>
    <t>Table 4: Emissions Factors for methane</t>
  </si>
  <si>
    <t xml:space="preserve">Fine </t>
  </si>
  <si>
    <t xml:space="preserve">Heavy </t>
  </si>
  <si>
    <t>Table 5: Emissions Factors for nitrous oxide</t>
  </si>
  <si>
    <t>Table 6: Carbon Content</t>
  </si>
  <si>
    <t>Elemental content</t>
  </si>
  <si>
    <t xml:space="preserve">Carbon </t>
  </si>
  <si>
    <t>Table 7: Nitrogen to carbon ratio</t>
  </si>
  <si>
    <t>Nitrogen to carbon ratio</t>
  </si>
  <si>
    <t>Table 8: Molecular mass to elemental mass</t>
  </si>
  <si>
    <t>Gas</t>
  </si>
  <si>
    <t>Conversion factor (M)</t>
  </si>
  <si>
    <r>
      <t>CH</t>
    </r>
    <r>
      <rPr>
        <vertAlign val="subscript"/>
        <sz val="12"/>
        <rFont val="Times New Roman"/>
        <family val="1"/>
      </rPr>
      <t>4</t>
    </r>
  </si>
  <si>
    <r>
      <t>N</t>
    </r>
    <r>
      <rPr>
        <vertAlign val="subscript"/>
        <sz val="12"/>
        <rFont val="Times New Roman"/>
        <family val="1"/>
      </rPr>
      <t>2</t>
    </r>
    <r>
      <rPr>
        <sz val="12"/>
        <rFont val="Times New Roman"/>
        <family val="1"/>
      </rPr>
      <t>O</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</si>
</sst>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_-* #,##0_-;\-* #,##0_-;_-* &quot;-&quot;??_-;_-@_-"/>
    <numFmt numFmtId="167" formatCode="_-* #,##0.0000_-;\-* #,##0.0000_-;_-* &quot;-&quot;??_-;_-@_-"/>
    <numFmt numFmtId="168" formatCode="0.00000000"/>
    <numFmt numFmtId="169" formatCode="0.000000000"/>
    <numFmt numFmtId="170" formatCode="_-* #,##0.00000000_-;\-* #,##0.00000000_-;_-* &quot;-&quot;??_-;_-@_-"/>
    <numFmt numFmtId="171" formatCode="_-* #,##0.00000000_-;\-* #,##0.00000000_-;_-* &quot;-&quot;????????_-;_-@_-"/>
    <numFmt numFmtId="172" formatCode="0.000000"/>
    <numFmt numFmtId="173" formatCode="0.00000"/>
    <numFmt numFmtId="174" formatCode="0.0000"/>
    <numFmt numFmtId="175" formatCode="0.0000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88">
    <font>
      <sz val="10"/>
      <name val="Arial"/>
      <family val="0"/>
    </font>
    <font>
      <sz val="10"/>
      <color indexed="8"/>
      <name val="Times New Roman"/>
      <family val="2"/>
    </font>
    <font>
      <sz val="11"/>
      <name val="Times New Roman"/>
      <family val="1"/>
    </font>
    <font>
      <sz val="12"/>
      <name val="Times New Roman"/>
      <family val="1"/>
    </font>
    <font>
      <b/>
      <sz val="12"/>
      <name val="Times New Roman"/>
      <family val="1"/>
    </font>
    <font>
      <b/>
      <sz val="11"/>
      <name val="Times New Roman"/>
      <family val="1"/>
    </font>
    <font>
      <i/>
      <sz val="12"/>
      <name val="Times New Roman"/>
      <family val="1"/>
    </font>
    <font>
      <vertAlign val="subscript"/>
      <sz val="11"/>
      <name val="Times New Roman"/>
      <family val="1"/>
    </font>
    <font>
      <b/>
      <i/>
      <sz val="12"/>
      <name val="Times New Roman"/>
      <family val="1"/>
    </font>
    <font>
      <u val="single"/>
      <sz val="10"/>
      <color indexed="12"/>
      <name val="Arial"/>
      <family val="2"/>
    </font>
    <font>
      <sz val="14"/>
      <name val="Times New Roman"/>
      <family val="1"/>
    </font>
    <font>
      <sz val="8"/>
      <name val="Tahoma"/>
      <family val="2"/>
    </font>
    <font>
      <sz val="14"/>
      <name val="Arial"/>
      <family val="2"/>
    </font>
    <font>
      <b/>
      <sz val="14"/>
      <name val="Times New Roman"/>
      <family val="1"/>
    </font>
    <font>
      <u val="single"/>
      <sz val="14"/>
      <color indexed="12"/>
      <name val="Times New Roman"/>
      <family val="1"/>
    </font>
    <font>
      <b/>
      <vertAlign val="subscript"/>
      <sz val="14"/>
      <name val="Times New Roman"/>
      <family val="1"/>
    </font>
    <font>
      <vertAlign val="subscript"/>
      <sz val="14"/>
      <name val="Times New Roman"/>
      <family val="1"/>
    </font>
    <font>
      <u val="single"/>
      <vertAlign val="subscript"/>
      <sz val="14"/>
      <color indexed="12"/>
      <name val="Times New Roman"/>
      <family val="1"/>
    </font>
    <font>
      <sz val="8"/>
      <name val="Arial"/>
      <family val="2"/>
    </font>
    <font>
      <i/>
      <sz val="11"/>
      <name val="Times New Roman"/>
      <family val="1"/>
    </font>
    <font>
      <sz val="12"/>
      <color indexed="10"/>
      <name val="Times New Roman"/>
      <family val="1"/>
    </font>
    <font>
      <u val="single"/>
      <sz val="12"/>
      <name val="Times New Roman"/>
      <family val="1"/>
    </font>
    <font>
      <b/>
      <sz val="12"/>
      <color indexed="10"/>
      <name val="Times New Roman"/>
      <family val="1"/>
    </font>
    <font>
      <b/>
      <vertAlign val="superscript"/>
      <sz val="12"/>
      <name val="Times New Roman"/>
      <family val="1"/>
    </font>
    <font>
      <b/>
      <sz val="16"/>
      <name val="Times New Roman"/>
      <family val="1"/>
    </font>
    <font>
      <b/>
      <vertAlign val="subscript"/>
      <sz val="11"/>
      <name val="Times New Roman"/>
      <family val="1"/>
    </font>
    <font>
      <b/>
      <sz val="9"/>
      <name val="Tahoma"/>
      <family val="2"/>
    </font>
    <font>
      <b/>
      <sz val="10"/>
      <name val="Arial"/>
      <family val="2"/>
    </font>
    <font>
      <b/>
      <sz val="10"/>
      <name val="Times New Roman"/>
      <family val="1"/>
    </font>
    <font>
      <vertAlign val="subscript"/>
      <sz val="12"/>
      <name val="Times New Roman"/>
      <family val="1"/>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u val="single"/>
      <sz val="10"/>
      <color indexed="20"/>
      <name val="Arial"/>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2"/>
      <color indexed="8"/>
      <name val="Times New Roman"/>
      <family val="1"/>
    </font>
    <font>
      <i/>
      <sz val="10"/>
      <color indexed="10"/>
      <name val="Times New Roman"/>
      <family val="1"/>
    </font>
    <font>
      <i/>
      <sz val="12"/>
      <color indexed="10"/>
      <name val="Times New Roman"/>
      <family val="1"/>
    </font>
    <font>
      <sz val="11"/>
      <color indexed="22"/>
      <name val="Times New Roman"/>
      <family val="1"/>
    </font>
    <font>
      <sz val="11"/>
      <color indexed="8"/>
      <name val="Times New Roman"/>
      <family val="1"/>
    </font>
    <font>
      <sz val="11"/>
      <color indexed="43"/>
      <name val="Times New Roman"/>
      <family val="1"/>
    </font>
    <font>
      <sz val="12"/>
      <color indexed="8"/>
      <name val="Times New Roman"/>
      <family val="1"/>
    </font>
    <font>
      <sz val="9.75"/>
      <color indexed="8"/>
      <name val="Arial"/>
      <family val="0"/>
    </font>
    <font>
      <sz val="9"/>
      <color indexed="8"/>
      <name val="Times New Roman"/>
      <family val="0"/>
    </font>
    <font>
      <sz val="4.5"/>
      <color indexed="8"/>
      <name val="Times New Roman"/>
      <family val="0"/>
    </font>
    <font>
      <sz val="6"/>
      <color indexed="8"/>
      <name val="Times New Roman"/>
      <family val="0"/>
    </font>
    <font>
      <b/>
      <sz val="8"/>
      <color indexed="8"/>
      <name val="Times New Roman"/>
      <family val="0"/>
    </font>
    <font>
      <b/>
      <sz val="11"/>
      <color indexed="8"/>
      <name val="Times New Roman"/>
      <family val="0"/>
    </font>
    <font>
      <b/>
      <sz val="14.4"/>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u val="single"/>
      <sz val="10"/>
      <color theme="11"/>
      <name val="Arial"/>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2"/>
      <color theme="1"/>
      <name val="Times New Roman"/>
      <family val="1"/>
    </font>
    <font>
      <i/>
      <sz val="10"/>
      <color rgb="FFFF0000"/>
      <name val="Times New Roman"/>
      <family val="1"/>
    </font>
    <font>
      <i/>
      <sz val="12"/>
      <color rgb="FFFF0000"/>
      <name val="Times New Roman"/>
      <family val="1"/>
    </font>
    <font>
      <sz val="11"/>
      <color theme="0" tint="-0.1499900072813034"/>
      <name val="Times New Roman"/>
      <family val="1"/>
    </font>
    <font>
      <sz val="11"/>
      <color theme="1"/>
      <name val="Times New Roman"/>
      <family val="1"/>
    </font>
    <font>
      <sz val="11"/>
      <color theme="2" tint="-0.09996999800205231"/>
      <name val="Times New Roman"/>
      <family val="1"/>
    </font>
    <font>
      <sz val="12"/>
      <color rgb="FF000000"/>
      <name val="Times New Roman"/>
      <family val="1"/>
    </font>
    <font>
      <b/>
      <sz val="12"/>
      <color rgb="FF0000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right style="thin"/>
      <top/>
      <bottom/>
    </border>
    <border>
      <left/>
      <right style="thin"/>
      <top style="thin"/>
      <bottom/>
    </border>
    <border>
      <left/>
      <right style="thin"/>
      <top/>
      <bottom style="thin"/>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style="medium"/>
      <top/>
      <bottom style="mediu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bottom/>
    </border>
    <border>
      <left style="thick"/>
      <right style="medium"/>
      <top style="medium"/>
      <bottom>
        <color indexed="63"/>
      </bottom>
    </border>
    <border>
      <left style="thick"/>
      <right style="medium"/>
      <top>
        <color indexed="63"/>
      </top>
      <bottom style="medium"/>
    </border>
    <border>
      <left>
        <color indexed="63"/>
      </left>
      <right style="thick"/>
      <top>
        <color indexed="63"/>
      </top>
      <bottom style="mediu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thick"/>
    </border>
    <border>
      <left>
        <color indexed="63"/>
      </left>
      <right style="medium"/>
      <top>
        <color indexed="63"/>
      </top>
      <bottom style="thick"/>
    </border>
    <border>
      <left>
        <color indexed="63"/>
      </left>
      <right style="thick"/>
      <top>
        <color indexed="63"/>
      </top>
      <bottom style="thick"/>
    </border>
    <border>
      <left style="thick"/>
      <right style="medium"/>
      <top style="thick"/>
      <bottom>
        <color indexed="63"/>
      </bottom>
    </border>
    <border>
      <left style="medium"/>
      <right>
        <color indexed="63"/>
      </right>
      <top style="thick"/>
      <bottom style="medium"/>
    </border>
    <border>
      <left>
        <color indexed="63"/>
      </left>
      <right>
        <color indexed="63"/>
      </right>
      <top style="thick"/>
      <bottom style="medium"/>
    </border>
    <border>
      <left>
        <color indexed="63"/>
      </left>
      <right style="thick">
        <color rgb="FF000000"/>
      </right>
      <top style="thick"/>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17">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3" fillId="0" borderId="0" xfId="0" applyFont="1" applyBorder="1" applyAlignment="1">
      <alignment vertical="top" wrapText="1"/>
    </xf>
    <xf numFmtId="0" fontId="10" fillId="0" borderId="0" xfId="0" applyFont="1" applyAlignment="1">
      <alignment/>
    </xf>
    <xf numFmtId="0" fontId="12" fillId="0" borderId="0" xfId="0" applyFont="1" applyAlignment="1">
      <alignment/>
    </xf>
    <xf numFmtId="0" fontId="13" fillId="0" borderId="10" xfId="0" applyFont="1" applyBorder="1" applyAlignment="1">
      <alignment horizontal="center"/>
    </xf>
    <xf numFmtId="0" fontId="10" fillId="0" borderId="11" xfId="0" applyFont="1" applyBorder="1" applyAlignment="1">
      <alignment wrapText="1"/>
    </xf>
    <xf numFmtId="0" fontId="10" fillId="0" borderId="12" xfId="0" applyFont="1" applyBorder="1" applyAlignment="1">
      <alignment wrapText="1"/>
    </xf>
    <xf numFmtId="0" fontId="9" fillId="0" borderId="12" xfId="53" applyBorder="1" applyAlignment="1" applyProtection="1">
      <alignment/>
      <protection/>
    </xf>
    <xf numFmtId="0" fontId="14" fillId="0" borderId="12" xfId="53" applyFont="1" applyBorder="1" applyAlignment="1" applyProtection="1">
      <alignment wrapText="1"/>
      <protection/>
    </xf>
    <xf numFmtId="0" fontId="13" fillId="4" borderId="13" xfId="0" applyFont="1" applyFill="1" applyBorder="1" applyAlignment="1">
      <alignment horizontal="center"/>
    </xf>
    <xf numFmtId="0" fontId="13" fillId="4" borderId="12" xfId="0" applyFont="1" applyFill="1" applyBorder="1" applyAlignment="1">
      <alignment horizontal="center"/>
    </xf>
    <xf numFmtId="0" fontId="10" fillId="4" borderId="12" xfId="0" applyFont="1" applyFill="1" applyBorder="1" applyAlignment="1">
      <alignment horizontal="left" wrapText="1"/>
    </xf>
    <xf numFmtId="0" fontId="10" fillId="0" borderId="0" xfId="0" applyFont="1" applyFill="1" applyAlignment="1">
      <alignment/>
    </xf>
    <xf numFmtId="0" fontId="10" fillId="0" borderId="12" xfId="0" applyFont="1" applyFill="1" applyBorder="1" applyAlignment="1">
      <alignment horizontal="left" wrapText="1"/>
    </xf>
    <xf numFmtId="0" fontId="12" fillId="0" borderId="0" xfId="0" applyFont="1" applyFill="1" applyAlignment="1">
      <alignment/>
    </xf>
    <xf numFmtId="0" fontId="10" fillId="4" borderId="11" xfId="0" applyFont="1" applyFill="1" applyBorder="1" applyAlignment="1">
      <alignment vertical="top" wrapText="1"/>
    </xf>
    <xf numFmtId="0" fontId="10" fillId="4" borderId="12" xfId="0" applyFont="1" applyFill="1" applyBorder="1" applyAlignment="1">
      <alignment horizontal="left" vertical="top" wrapText="1"/>
    </xf>
    <xf numFmtId="0" fontId="10" fillId="4" borderId="12" xfId="0" applyFont="1" applyFill="1" applyBorder="1" applyAlignment="1">
      <alignment vertical="top" wrapText="1"/>
    </xf>
    <xf numFmtId="0" fontId="10" fillId="0" borderId="12" xfId="0" applyFont="1" applyBorder="1" applyAlignment="1">
      <alignment vertical="top" wrapText="1"/>
    </xf>
    <xf numFmtId="0" fontId="10" fillId="0" borderId="12" xfId="0" applyFont="1" applyFill="1" applyBorder="1" applyAlignment="1">
      <alignment vertical="top" wrapText="1"/>
    </xf>
    <xf numFmtId="0" fontId="10" fillId="0" borderId="12" xfId="0" applyFont="1" applyBorder="1" applyAlignment="1">
      <alignment/>
    </xf>
    <xf numFmtId="0" fontId="13" fillId="0" borderId="13" xfId="0" applyFont="1" applyFill="1" applyBorder="1" applyAlignment="1">
      <alignment horizontal="center"/>
    </xf>
    <xf numFmtId="0" fontId="10" fillId="0" borderId="12" xfId="0" applyFont="1" applyFill="1" applyBorder="1" applyAlignment="1">
      <alignment/>
    </xf>
    <xf numFmtId="0" fontId="10" fillId="0" borderId="12" xfId="0" applyFont="1" applyFill="1" applyBorder="1" applyAlignment="1">
      <alignment horizontal="left" indent="1"/>
    </xf>
    <xf numFmtId="0" fontId="10" fillId="0" borderId="13" xfId="0" applyFont="1" applyFill="1" applyBorder="1" applyAlignment="1">
      <alignment/>
    </xf>
    <xf numFmtId="0" fontId="3" fillId="11" borderId="0" xfId="0" applyFont="1" applyFill="1" applyBorder="1" applyAlignment="1">
      <alignment/>
    </xf>
    <xf numFmtId="0" fontId="4" fillId="11" borderId="0" xfId="0" applyFont="1" applyFill="1" applyBorder="1" applyAlignment="1">
      <alignment/>
    </xf>
    <xf numFmtId="0" fontId="3" fillId="11" borderId="0" xfId="0" applyFont="1" applyFill="1" applyBorder="1" applyAlignment="1">
      <alignment horizontal="right"/>
    </xf>
    <xf numFmtId="0" fontId="2" fillId="11" borderId="0" xfId="0" applyFont="1" applyFill="1" applyBorder="1" applyAlignment="1" applyProtection="1">
      <alignment/>
      <protection/>
    </xf>
    <xf numFmtId="1" fontId="2" fillId="11" borderId="0" xfId="0" applyNumberFormat="1" applyFont="1" applyFill="1" applyBorder="1" applyAlignment="1" applyProtection="1">
      <alignment horizontal="right" vertical="top" wrapText="1"/>
      <protection/>
    </xf>
    <xf numFmtId="2" fontId="2" fillId="11" borderId="0" xfId="0" applyNumberFormat="1" applyFont="1" applyFill="1" applyBorder="1" applyAlignment="1" applyProtection="1">
      <alignment horizontal="right" vertical="top" wrapText="1"/>
      <protection/>
    </xf>
    <xf numFmtId="165" fontId="2" fillId="11" borderId="0" xfId="0" applyNumberFormat="1" applyFont="1" applyFill="1" applyBorder="1" applyAlignment="1" applyProtection="1">
      <alignment horizontal="right" vertical="top" wrapText="1"/>
      <protection/>
    </xf>
    <xf numFmtId="0" fontId="2" fillId="11" borderId="0" xfId="0" applyFont="1" applyFill="1" applyBorder="1" applyAlignment="1" applyProtection="1">
      <alignment/>
      <protection hidden="1"/>
    </xf>
    <xf numFmtId="0" fontId="13" fillId="0" borderId="0" xfId="0" applyFont="1" applyFill="1" applyBorder="1" applyAlignment="1">
      <alignment/>
    </xf>
    <xf numFmtId="0" fontId="3" fillId="0" borderId="0" xfId="0" applyFont="1" applyFill="1" applyBorder="1" applyAlignment="1">
      <alignment/>
    </xf>
    <xf numFmtId="0" fontId="22"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pplyProtection="1">
      <alignment/>
      <protection locked="0"/>
    </xf>
    <xf numFmtId="1" fontId="3" fillId="0" borderId="0" xfId="0" applyNumberFormat="1" applyFont="1" applyFill="1" applyBorder="1" applyAlignment="1">
      <alignment/>
    </xf>
    <xf numFmtId="0" fontId="3" fillId="0" borderId="0" xfId="0" applyFont="1" applyFill="1" applyBorder="1" applyAlignment="1">
      <alignment horizontal="right"/>
    </xf>
    <xf numFmtId="2" fontId="3" fillId="0" borderId="0" xfId="0" applyNumberFormat="1" applyFont="1" applyFill="1" applyBorder="1" applyAlignment="1" applyProtection="1">
      <alignment/>
      <protection locked="0"/>
    </xf>
    <xf numFmtId="0" fontId="4" fillId="0" borderId="0" xfId="0" applyFont="1" applyFill="1" applyBorder="1" applyAlignment="1">
      <alignment vertical="top" wrapText="1"/>
    </xf>
    <xf numFmtId="0" fontId="3" fillId="0" borderId="0" xfId="0" applyFont="1" applyFill="1" applyBorder="1" applyAlignment="1">
      <alignment/>
    </xf>
    <xf numFmtId="0" fontId="3" fillId="11" borderId="14" xfId="0" applyFont="1" applyFill="1" applyBorder="1" applyAlignment="1">
      <alignment/>
    </xf>
    <xf numFmtId="0" fontId="3" fillId="11" borderId="15" xfId="0" applyFont="1" applyFill="1" applyBorder="1" applyAlignment="1">
      <alignment/>
    </xf>
    <xf numFmtId="0" fontId="13" fillId="0" borderId="0" xfId="0" applyFont="1" applyAlignment="1">
      <alignment/>
    </xf>
    <xf numFmtId="0" fontId="13" fillId="0" borderId="0" xfId="0" applyFont="1" applyBorder="1" applyAlignment="1">
      <alignment/>
    </xf>
    <xf numFmtId="0" fontId="4" fillId="0" borderId="0" xfId="0" applyFont="1" applyBorder="1" applyAlignment="1">
      <alignment/>
    </xf>
    <xf numFmtId="0" fontId="8" fillId="0" borderId="0" xfId="0" applyFont="1" applyBorder="1" applyAlignment="1">
      <alignment/>
    </xf>
    <xf numFmtId="164" fontId="3" fillId="0" borderId="0" xfId="0" applyNumberFormat="1" applyFont="1" applyBorder="1" applyAlignment="1">
      <alignment/>
    </xf>
    <xf numFmtId="164" fontId="4" fillId="0" borderId="0" xfId="0" applyNumberFormat="1" applyFont="1" applyBorder="1" applyAlignment="1">
      <alignment/>
    </xf>
    <xf numFmtId="0" fontId="4" fillId="0" borderId="0" xfId="0" applyFont="1" applyBorder="1" applyAlignment="1">
      <alignment vertical="top" wrapText="1"/>
    </xf>
    <xf numFmtId="164" fontId="3" fillId="0" borderId="0" xfId="0" applyNumberFormat="1" applyFont="1" applyBorder="1" applyAlignment="1">
      <alignment vertical="top" wrapText="1"/>
    </xf>
    <xf numFmtId="0" fontId="21"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79" fillId="8" borderId="16" xfId="24" applyFont="1" applyFill="1" applyBorder="1" applyAlignment="1">
      <alignment/>
    </xf>
    <xf numFmtId="0" fontId="4" fillId="14" borderId="16" xfId="0" applyFont="1" applyFill="1" applyBorder="1" applyAlignment="1">
      <alignment horizontal="center"/>
    </xf>
    <xf numFmtId="0" fontId="4" fillId="8" borderId="0" xfId="0" applyFont="1" applyFill="1" applyBorder="1" applyAlignment="1">
      <alignment/>
    </xf>
    <xf numFmtId="0" fontId="79" fillId="8" borderId="0" xfId="24" applyFont="1" applyFill="1" applyBorder="1" applyAlignment="1">
      <alignment/>
    </xf>
    <xf numFmtId="0" fontId="4" fillId="0" borderId="0" xfId="0" applyFont="1" applyBorder="1" applyAlignment="1">
      <alignment horizontal="center"/>
    </xf>
    <xf numFmtId="0" fontId="10" fillId="0" borderId="0" xfId="0" applyFont="1" applyBorder="1" applyAlignment="1">
      <alignment/>
    </xf>
    <xf numFmtId="0" fontId="4" fillId="33" borderId="0" xfId="0" applyFont="1" applyFill="1" applyBorder="1" applyAlignment="1">
      <alignment/>
    </xf>
    <xf numFmtId="0" fontId="3" fillId="33" borderId="0" xfId="0" applyFont="1" applyFill="1" applyBorder="1" applyAlignment="1">
      <alignment/>
    </xf>
    <xf numFmtId="0" fontId="3" fillId="8" borderId="0" xfId="0" applyFont="1" applyFill="1" applyBorder="1" applyAlignment="1">
      <alignment/>
    </xf>
    <xf numFmtId="0" fontId="3" fillId="8" borderId="0" xfId="0" applyFont="1" applyFill="1" applyBorder="1" applyAlignment="1">
      <alignment horizontal="center"/>
    </xf>
    <xf numFmtId="0" fontId="4" fillId="8" borderId="15" xfId="0" applyFont="1" applyFill="1" applyBorder="1" applyAlignment="1">
      <alignment/>
    </xf>
    <xf numFmtId="0" fontId="3" fillId="8" borderId="15" xfId="0" applyFont="1" applyFill="1" applyBorder="1" applyAlignment="1">
      <alignment/>
    </xf>
    <xf numFmtId="0" fontId="3" fillId="8" borderId="15" xfId="0" applyFont="1" applyFill="1" applyBorder="1" applyAlignment="1">
      <alignment horizontal="center"/>
    </xf>
    <xf numFmtId="0" fontId="4" fillId="8" borderId="16" xfId="0" applyFont="1" applyFill="1" applyBorder="1" applyAlignment="1">
      <alignment/>
    </xf>
    <xf numFmtId="165" fontId="3" fillId="8" borderId="0" xfId="0" applyNumberFormat="1" applyFont="1" applyFill="1" applyBorder="1" applyAlignment="1">
      <alignment/>
    </xf>
    <xf numFmtId="2" fontId="3" fillId="8" borderId="0" xfId="0" applyNumberFormat="1" applyFont="1" applyFill="1" applyBorder="1" applyAlignment="1">
      <alignment/>
    </xf>
    <xf numFmtId="1" fontId="3" fillId="8" borderId="0" xfId="0" applyNumberFormat="1" applyFont="1" applyFill="1" applyBorder="1" applyAlignment="1">
      <alignment/>
    </xf>
    <xf numFmtId="164" fontId="3" fillId="8" borderId="0" xfId="0" applyNumberFormat="1" applyFont="1" applyFill="1" applyBorder="1" applyAlignment="1">
      <alignment/>
    </xf>
    <xf numFmtId="0" fontId="8" fillId="8" borderId="0" xfId="0" applyFont="1" applyFill="1" applyBorder="1" applyAlignment="1">
      <alignment/>
    </xf>
    <xf numFmtId="172" fontId="3" fillId="8" borderId="0" xfId="0" applyNumberFormat="1" applyFont="1" applyFill="1" applyBorder="1" applyAlignment="1">
      <alignment/>
    </xf>
    <xf numFmtId="0" fontId="4" fillId="14" borderId="0" xfId="0" applyFont="1" applyFill="1" applyBorder="1" applyAlignment="1">
      <alignment horizontal="center"/>
    </xf>
    <xf numFmtId="0" fontId="3" fillId="14" borderId="0" xfId="0" applyFont="1" applyFill="1" applyBorder="1" applyAlignment="1">
      <alignment/>
    </xf>
    <xf numFmtId="1" fontId="3" fillId="8" borderId="15" xfId="0" applyNumberFormat="1" applyFont="1" applyFill="1" applyBorder="1" applyAlignment="1">
      <alignment/>
    </xf>
    <xf numFmtId="0" fontId="4" fillId="14" borderId="15" xfId="0" applyFont="1" applyFill="1" applyBorder="1" applyAlignment="1">
      <alignment horizontal="center"/>
    </xf>
    <xf numFmtId="0" fontId="4" fillId="16" borderId="16" xfId="0" applyFont="1" applyFill="1" applyBorder="1" applyAlignment="1">
      <alignment horizontal="center"/>
    </xf>
    <xf numFmtId="0" fontId="4" fillId="16" borderId="0" xfId="0" applyFont="1" applyFill="1" applyBorder="1" applyAlignment="1">
      <alignment horizontal="center"/>
    </xf>
    <xf numFmtId="0" fontId="4" fillId="10" borderId="16" xfId="0" applyFont="1" applyFill="1" applyBorder="1" applyAlignment="1">
      <alignment/>
    </xf>
    <xf numFmtId="0" fontId="4" fillId="10" borderId="0" xfId="0" applyFont="1" applyFill="1" applyBorder="1" applyAlignment="1">
      <alignment/>
    </xf>
    <xf numFmtId="0" fontId="4" fillId="10" borderId="0" xfId="0" applyFont="1" applyFill="1" applyBorder="1" applyAlignment="1">
      <alignment horizontal="center"/>
    </xf>
    <xf numFmtId="0" fontId="3" fillId="10" borderId="0" xfId="0" applyFont="1" applyFill="1" applyBorder="1" applyAlignment="1">
      <alignment/>
    </xf>
    <xf numFmtId="0" fontId="3" fillId="10" borderId="0" xfId="0" applyFont="1" applyFill="1" applyBorder="1" applyAlignment="1">
      <alignment horizontal="center"/>
    </xf>
    <xf numFmtId="0" fontId="3" fillId="10" borderId="15" xfId="0" applyFont="1" applyFill="1" applyBorder="1" applyAlignment="1">
      <alignment/>
    </xf>
    <xf numFmtId="0" fontId="3" fillId="10" borderId="15" xfId="0" applyFont="1" applyFill="1" applyBorder="1" applyAlignment="1">
      <alignment horizontal="center"/>
    </xf>
    <xf numFmtId="0" fontId="3" fillId="10" borderId="14" xfId="0" applyFont="1" applyFill="1" applyBorder="1" applyAlignment="1">
      <alignment/>
    </xf>
    <xf numFmtId="0" fontId="3" fillId="10" borderId="14" xfId="0" applyFont="1" applyFill="1" applyBorder="1" applyAlignment="1">
      <alignment horizontal="center"/>
    </xf>
    <xf numFmtId="175" fontId="3" fillId="10" borderId="0" xfId="0" applyNumberFormat="1" applyFont="1" applyFill="1" applyBorder="1" applyAlignment="1">
      <alignment/>
    </xf>
    <xf numFmtId="168" fontId="3" fillId="10" borderId="0" xfId="0" applyNumberFormat="1" applyFont="1" applyFill="1" applyBorder="1" applyAlignment="1">
      <alignment/>
    </xf>
    <xf numFmtId="172" fontId="3" fillId="10" borderId="0" xfId="0" applyNumberFormat="1" applyFont="1" applyFill="1" applyBorder="1" applyAlignment="1">
      <alignment/>
    </xf>
    <xf numFmtId="0" fontId="4" fillId="10" borderId="15" xfId="0" applyFont="1" applyFill="1" applyBorder="1" applyAlignment="1">
      <alignment/>
    </xf>
    <xf numFmtId="172" fontId="3" fillId="10" borderId="15" xfId="0" applyNumberFormat="1" applyFont="1" applyFill="1" applyBorder="1" applyAlignment="1">
      <alignment/>
    </xf>
    <xf numFmtId="0" fontId="4" fillId="16" borderId="15" xfId="0" applyFont="1" applyFill="1" applyBorder="1" applyAlignment="1">
      <alignment horizontal="center"/>
    </xf>
    <xf numFmtId="0" fontId="22" fillId="0" borderId="0" xfId="0" applyFont="1" applyAlignment="1">
      <alignment/>
    </xf>
    <xf numFmtId="170" fontId="3" fillId="0" borderId="0" xfId="0" applyNumberFormat="1" applyFont="1" applyAlignment="1">
      <alignment/>
    </xf>
    <xf numFmtId="0" fontId="3" fillId="0" borderId="0" xfId="0" applyFont="1" applyAlignment="1">
      <alignment horizontal="center"/>
    </xf>
    <xf numFmtId="171" fontId="3" fillId="0" borderId="0" xfId="0" applyNumberFormat="1" applyFont="1" applyAlignment="1">
      <alignment/>
    </xf>
    <xf numFmtId="0" fontId="4" fillId="0" borderId="0" xfId="0" applyFont="1" applyAlignment="1">
      <alignment horizontal="center"/>
    </xf>
    <xf numFmtId="0" fontId="3" fillId="0" borderId="0" xfId="0" applyFont="1" applyBorder="1" applyAlignment="1">
      <alignment/>
    </xf>
    <xf numFmtId="0" fontId="4" fillId="9" borderId="16" xfId="0" applyFont="1" applyFill="1" applyBorder="1" applyAlignment="1">
      <alignment horizontal="center"/>
    </xf>
    <xf numFmtId="0" fontId="4" fillId="3" borderId="16" xfId="0" applyFont="1" applyFill="1" applyBorder="1" applyAlignment="1">
      <alignment/>
    </xf>
    <xf numFmtId="0" fontId="4" fillId="3" borderId="15" xfId="0" applyFont="1" applyFill="1" applyBorder="1" applyAlignment="1">
      <alignment/>
    </xf>
    <xf numFmtId="0" fontId="3" fillId="3" borderId="15" xfId="0" applyFont="1" applyFill="1" applyBorder="1" applyAlignment="1">
      <alignment/>
    </xf>
    <xf numFmtId="0" fontId="3" fillId="3" borderId="16" xfId="0" applyFont="1" applyFill="1" applyBorder="1" applyAlignment="1">
      <alignment/>
    </xf>
    <xf numFmtId="167" fontId="4" fillId="0" borderId="0" xfId="42" applyNumberFormat="1" applyFont="1" applyAlignment="1">
      <alignment horizontal="center"/>
    </xf>
    <xf numFmtId="0" fontId="3" fillId="0" borderId="0" xfId="0" applyFont="1" applyFill="1" applyBorder="1" applyAlignment="1">
      <alignment vertical="top" wrapText="1"/>
    </xf>
    <xf numFmtId="0" fontId="4" fillId="3" borderId="0" xfId="0" applyFont="1" applyFill="1" applyBorder="1" applyAlignment="1">
      <alignment/>
    </xf>
    <xf numFmtId="0" fontId="3" fillId="3" borderId="0" xfId="0" applyFont="1" applyFill="1" applyBorder="1" applyAlignment="1">
      <alignment/>
    </xf>
    <xf numFmtId="0" fontId="3" fillId="3" borderId="0" xfId="0" applyFont="1" applyFill="1" applyBorder="1" applyAlignment="1">
      <alignment horizontal="center"/>
    </xf>
    <xf numFmtId="1" fontId="3" fillId="3" borderId="0" xfId="0" applyNumberFormat="1" applyFont="1" applyFill="1" applyBorder="1" applyAlignment="1">
      <alignment/>
    </xf>
    <xf numFmtId="2" fontId="3" fillId="3" borderId="0" xfId="0" applyNumberFormat="1" applyFont="1" applyFill="1" applyBorder="1" applyAlignment="1">
      <alignment/>
    </xf>
    <xf numFmtId="2" fontId="3" fillId="3" borderId="15" xfId="0" applyNumberFormat="1" applyFont="1" applyFill="1" applyBorder="1" applyAlignment="1">
      <alignment/>
    </xf>
    <xf numFmtId="0" fontId="3" fillId="3" borderId="17" xfId="0" applyFont="1" applyFill="1" applyBorder="1" applyAlignment="1">
      <alignment/>
    </xf>
    <xf numFmtId="0" fontId="3" fillId="3" borderId="18" xfId="0" applyFont="1" applyFill="1" applyBorder="1" applyAlignment="1">
      <alignment/>
    </xf>
    <xf numFmtId="0" fontId="3" fillId="3" borderId="19" xfId="0" applyFont="1" applyFill="1" applyBorder="1" applyAlignment="1">
      <alignment/>
    </xf>
    <xf numFmtId="174" fontId="3" fillId="3" borderId="0" xfId="0" applyNumberFormat="1" applyFont="1" applyFill="1" applyBorder="1" applyAlignment="1">
      <alignment/>
    </xf>
    <xf numFmtId="164" fontId="3" fillId="3" borderId="0" xfId="0" applyNumberFormat="1" applyFont="1" applyFill="1" applyBorder="1" applyAlignment="1">
      <alignment/>
    </xf>
    <xf numFmtId="172" fontId="3" fillId="3" borderId="0" xfId="0" applyNumberFormat="1" applyFont="1" applyFill="1" applyBorder="1" applyAlignment="1">
      <alignment/>
    </xf>
    <xf numFmtId="0" fontId="3" fillId="3" borderId="15" xfId="0" applyFont="1" applyFill="1" applyBorder="1" applyAlignment="1">
      <alignment horizontal="center"/>
    </xf>
    <xf numFmtId="0" fontId="4" fillId="9" borderId="0" xfId="0" applyFont="1" applyFill="1" applyBorder="1" applyAlignment="1">
      <alignment horizontal="center"/>
    </xf>
    <xf numFmtId="0" fontId="4" fillId="9" borderId="15" xfId="0" applyFont="1" applyFill="1" applyBorder="1" applyAlignment="1">
      <alignment horizontal="center"/>
    </xf>
    <xf numFmtId="0" fontId="13" fillId="0" borderId="0" xfId="0" applyFont="1" applyFill="1" applyAlignment="1">
      <alignment/>
    </xf>
    <xf numFmtId="0" fontId="8" fillId="0" borderId="0" xfId="0" applyFont="1" applyFill="1" applyBorder="1" applyAlignment="1">
      <alignment/>
    </xf>
    <xf numFmtId="0" fontId="20" fillId="0" borderId="0" xfId="0" applyFont="1" applyAlignment="1">
      <alignment/>
    </xf>
    <xf numFmtId="0" fontId="3" fillId="0" borderId="0" xfId="0" applyFont="1" applyFill="1" applyAlignment="1">
      <alignment/>
    </xf>
    <xf numFmtId="0" fontId="4" fillId="34" borderId="16" xfId="0" applyFont="1" applyFill="1" applyBorder="1" applyAlignment="1">
      <alignment horizontal="center"/>
    </xf>
    <xf numFmtId="0" fontId="3" fillId="34" borderId="0" xfId="0" applyFont="1" applyFill="1" applyAlignment="1">
      <alignment/>
    </xf>
    <xf numFmtId="0" fontId="3" fillId="32" borderId="0" xfId="0" applyFont="1" applyFill="1" applyBorder="1" applyAlignment="1">
      <alignment/>
    </xf>
    <xf numFmtId="0" fontId="4" fillId="32" borderId="16" xfId="0" applyFont="1" applyFill="1" applyBorder="1" applyAlignment="1">
      <alignment/>
    </xf>
    <xf numFmtId="0" fontId="4" fillId="32" borderId="16" xfId="0" applyFont="1" applyFill="1" applyBorder="1" applyAlignment="1">
      <alignment horizontal="center"/>
    </xf>
    <xf numFmtId="0" fontId="3" fillId="32" borderId="0" xfId="0" applyFont="1" applyFill="1" applyAlignment="1">
      <alignment/>
    </xf>
    <xf numFmtId="3" fontId="3" fillId="32" borderId="0" xfId="0" applyNumberFormat="1" applyFont="1" applyFill="1" applyBorder="1" applyAlignment="1">
      <alignment/>
    </xf>
    <xf numFmtId="168" fontId="3" fillId="32" borderId="0" xfId="0" applyNumberFormat="1" applyFont="1" applyFill="1" applyBorder="1" applyAlignment="1">
      <alignment/>
    </xf>
    <xf numFmtId="0" fontId="4" fillId="32" borderId="0"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4" fillId="34" borderId="0" xfId="0" applyFont="1" applyFill="1" applyAlignment="1">
      <alignment horizontal="center"/>
    </xf>
    <xf numFmtId="0" fontId="4" fillId="34" borderId="0" xfId="0" applyFont="1" applyFill="1" applyAlignment="1">
      <alignment horizontal="left"/>
    </xf>
    <xf numFmtId="0" fontId="4" fillId="0" borderId="0" xfId="0" applyFont="1" applyFill="1" applyAlignment="1">
      <alignment horizontal="center"/>
    </xf>
    <xf numFmtId="165" fontId="3" fillId="0" borderId="0" xfId="0" applyNumberFormat="1" applyFont="1" applyFill="1" applyAlignment="1">
      <alignment/>
    </xf>
    <xf numFmtId="164" fontId="3" fillId="0" borderId="0" xfId="0" applyNumberFormat="1" applyFont="1" applyFill="1" applyBorder="1" applyAlignment="1">
      <alignment horizontal="right"/>
    </xf>
    <xf numFmtId="169" fontId="3" fillId="0" borderId="0" xfId="0" applyNumberFormat="1" applyFont="1" applyFill="1" applyBorder="1" applyAlignment="1">
      <alignment/>
    </xf>
    <xf numFmtId="0" fontId="3" fillId="0" borderId="15" xfId="0" applyFont="1" applyFill="1" applyBorder="1" applyAlignment="1">
      <alignment/>
    </xf>
    <xf numFmtId="175" fontId="3" fillId="3" borderId="0" xfId="0" applyNumberFormat="1" applyFont="1" applyFill="1" applyBorder="1" applyAlignment="1">
      <alignment/>
    </xf>
    <xf numFmtId="0" fontId="4"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20" xfId="0" applyFont="1" applyFill="1" applyBorder="1" applyAlignment="1">
      <alignment horizontal="center"/>
    </xf>
    <xf numFmtId="0" fontId="3" fillId="34" borderId="19" xfId="0" applyFont="1" applyFill="1" applyBorder="1" applyAlignment="1">
      <alignment/>
    </xf>
    <xf numFmtId="0" fontId="4" fillId="34" borderId="19" xfId="0" applyFont="1" applyFill="1" applyBorder="1" applyAlignment="1">
      <alignment horizontal="center"/>
    </xf>
    <xf numFmtId="0" fontId="4" fillId="34" borderId="21" xfId="0" applyFont="1" applyFill="1" applyBorder="1" applyAlignment="1">
      <alignment horizontal="center"/>
    </xf>
    <xf numFmtId="169" fontId="4" fillId="34" borderId="0" xfId="0" applyNumberFormat="1" applyFont="1" applyFill="1" applyAlignment="1">
      <alignment horizontal="center"/>
    </xf>
    <xf numFmtId="175" fontId="4" fillId="34" borderId="0" xfId="0" applyNumberFormat="1" applyFont="1" applyFill="1" applyAlignment="1">
      <alignment horizontal="center"/>
    </xf>
    <xf numFmtId="0" fontId="4" fillId="34" borderId="15" xfId="0" applyFont="1" applyFill="1" applyBorder="1" applyAlignment="1">
      <alignment horizontal="center"/>
    </xf>
    <xf numFmtId="0" fontId="4" fillId="32" borderId="0" xfId="0" applyFont="1" applyFill="1" applyAlignment="1">
      <alignment horizontal="center"/>
    </xf>
    <xf numFmtId="0" fontId="3" fillId="32" borderId="19" xfId="0" applyFont="1" applyFill="1" applyBorder="1" applyAlignment="1">
      <alignment/>
    </xf>
    <xf numFmtId="0" fontId="4" fillId="32" borderId="0" xfId="0" applyFont="1" applyFill="1" applyAlignment="1">
      <alignment/>
    </xf>
    <xf numFmtId="2" fontId="3" fillId="32" borderId="0" xfId="0" applyNumberFormat="1" applyFont="1" applyFill="1" applyAlignment="1">
      <alignment/>
    </xf>
    <xf numFmtId="0" fontId="4" fillId="32" borderId="22" xfId="0" applyFont="1" applyFill="1" applyBorder="1" applyAlignment="1">
      <alignment/>
    </xf>
    <xf numFmtId="0" fontId="4" fillId="32" borderId="23" xfId="0" applyFont="1" applyFill="1" applyBorder="1" applyAlignment="1">
      <alignment/>
    </xf>
    <xf numFmtId="0" fontId="3" fillId="32" borderId="24" xfId="0" applyFont="1" applyFill="1" applyBorder="1" applyAlignment="1">
      <alignment/>
    </xf>
    <xf numFmtId="0" fontId="3" fillId="32" borderId="25" xfId="0" applyFont="1" applyFill="1" applyBorder="1" applyAlignment="1">
      <alignment/>
    </xf>
    <xf numFmtId="0" fontId="4" fillId="32" borderId="24" xfId="0" applyFont="1" applyFill="1" applyBorder="1" applyAlignment="1">
      <alignment/>
    </xf>
    <xf numFmtId="0" fontId="4" fillId="32" borderId="25" xfId="0" applyFont="1" applyFill="1" applyBorder="1" applyAlignment="1">
      <alignment/>
    </xf>
    <xf numFmtId="0" fontId="3" fillId="32" borderId="26" xfId="0" applyFont="1" applyFill="1" applyBorder="1" applyAlignment="1">
      <alignment/>
    </xf>
    <xf numFmtId="0" fontId="3" fillId="32" borderId="27" xfId="0" applyFont="1" applyFill="1" applyBorder="1" applyAlignment="1">
      <alignment/>
    </xf>
    <xf numFmtId="0" fontId="4" fillId="32" borderId="28" xfId="0" applyFont="1" applyFill="1" applyBorder="1" applyAlignment="1">
      <alignment/>
    </xf>
    <xf numFmtId="0" fontId="3" fillId="32" borderId="14" xfId="0" applyFont="1" applyFill="1" applyBorder="1" applyAlignment="1">
      <alignment/>
    </xf>
    <xf numFmtId="0" fontId="8" fillId="32" borderId="14" xfId="0" applyFont="1" applyFill="1" applyBorder="1" applyAlignment="1">
      <alignment/>
    </xf>
    <xf numFmtId="0" fontId="4" fillId="32" borderId="29" xfId="0" applyFont="1" applyFill="1" applyBorder="1" applyAlignment="1">
      <alignment/>
    </xf>
    <xf numFmtId="0" fontId="3" fillId="32" borderId="29" xfId="0" applyFont="1" applyFill="1" applyBorder="1" applyAlignment="1">
      <alignment/>
    </xf>
    <xf numFmtId="0" fontId="6" fillId="32" borderId="0" xfId="0" applyFont="1" applyFill="1" applyBorder="1" applyAlignment="1">
      <alignment/>
    </xf>
    <xf numFmtId="0" fontId="3" fillId="32" borderId="30" xfId="0" applyFont="1" applyFill="1" applyBorder="1" applyAlignment="1">
      <alignment/>
    </xf>
    <xf numFmtId="0" fontId="6" fillId="32" borderId="15" xfId="0" applyFont="1" applyFill="1" applyBorder="1" applyAlignment="1">
      <alignment/>
    </xf>
    <xf numFmtId="0" fontId="4" fillId="32" borderId="15" xfId="0" applyFont="1" applyFill="1" applyBorder="1" applyAlignment="1">
      <alignment/>
    </xf>
    <xf numFmtId="0" fontId="6" fillId="32" borderId="0" xfId="0" applyFont="1" applyFill="1" applyAlignment="1">
      <alignment/>
    </xf>
    <xf numFmtId="0" fontId="3" fillId="32" borderId="0" xfId="0" applyFont="1" applyFill="1" applyAlignment="1">
      <alignment horizontal="right"/>
    </xf>
    <xf numFmtId="175" fontId="3" fillId="32" borderId="0" xfId="0" applyNumberFormat="1" applyFont="1" applyFill="1" applyBorder="1" applyAlignment="1">
      <alignment/>
    </xf>
    <xf numFmtId="173" fontId="3" fillId="32" borderId="0" xfId="0" applyNumberFormat="1" applyFont="1" applyFill="1" applyAlignment="1">
      <alignment/>
    </xf>
    <xf numFmtId="0" fontId="3" fillId="32" borderId="0" xfId="0" applyFont="1" applyFill="1" applyBorder="1" applyAlignment="1">
      <alignment horizontal="right"/>
    </xf>
    <xf numFmtId="175" fontId="3" fillId="32" borderId="0" xfId="0" applyNumberFormat="1" applyFont="1" applyFill="1" applyAlignment="1">
      <alignment/>
    </xf>
    <xf numFmtId="172" fontId="3" fillId="32" borderId="0" xfId="0" applyNumberFormat="1" applyFont="1" applyFill="1" applyAlignment="1">
      <alignment/>
    </xf>
    <xf numFmtId="0" fontId="3" fillId="32" borderId="0" xfId="0" applyFont="1" applyFill="1" applyAlignment="1">
      <alignment horizontal="left"/>
    </xf>
    <xf numFmtId="0" fontId="3" fillId="32" borderId="28" xfId="0" applyFont="1" applyFill="1" applyBorder="1" applyAlignment="1">
      <alignment horizontal="right"/>
    </xf>
    <xf numFmtId="164" fontId="3" fillId="32" borderId="14" xfId="0" applyNumberFormat="1" applyFont="1" applyFill="1" applyBorder="1" applyAlignment="1">
      <alignment/>
    </xf>
    <xf numFmtId="0" fontId="3" fillId="32" borderId="20" xfId="0" applyFont="1" applyFill="1" applyBorder="1" applyAlignment="1">
      <alignment/>
    </xf>
    <xf numFmtId="0" fontId="3" fillId="32" borderId="29" xfId="0" applyFont="1" applyFill="1" applyBorder="1" applyAlignment="1">
      <alignment horizontal="right"/>
    </xf>
    <xf numFmtId="164" fontId="3" fillId="32" borderId="0" xfId="0" applyNumberFormat="1" applyFont="1" applyFill="1" applyBorder="1" applyAlignment="1">
      <alignment/>
    </xf>
    <xf numFmtId="0" fontId="3" fillId="32" borderId="30" xfId="0" applyFont="1" applyFill="1" applyBorder="1" applyAlignment="1">
      <alignment horizontal="right"/>
    </xf>
    <xf numFmtId="164" fontId="3" fillId="32" borderId="15" xfId="0" applyNumberFormat="1" applyFont="1" applyFill="1" applyBorder="1" applyAlignment="1">
      <alignment/>
    </xf>
    <xf numFmtId="0" fontId="3" fillId="32" borderId="21" xfId="0" applyFont="1" applyFill="1" applyBorder="1" applyAlignment="1">
      <alignment/>
    </xf>
    <xf numFmtId="172" fontId="3" fillId="32" borderId="14" xfId="0" applyNumberFormat="1" applyFont="1" applyFill="1" applyBorder="1" applyAlignment="1">
      <alignment/>
    </xf>
    <xf numFmtId="172" fontId="3" fillId="32" borderId="0" xfId="0" applyNumberFormat="1" applyFont="1" applyFill="1" applyBorder="1" applyAlignment="1">
      <alignment/>
    </xf>
    <xf numFmtId="172" fontId="3" fillId="32" borderId="15" xfId="0" applyNumberFormat="1" applyFont="1" applyFill="1" applyBorder="1" applyAlignment="1">
      <alignment/>
    </xf>
    <xf numFmtId="174" fontId="3" fillId="32" borderId="0" xfId="0" applyNumberFormat="1" applyFont="1" applyFill="1" applyAlignment="1">
      <alignment/>
    </xf>
    <xf numFmtId="173" fontId="3" fillId="32" borderId="14" xfId="0" applyNumberFormat="1" applyFont="1" applyFill="1" applyBorder="1" applyAlignment="1">
      <alignment/>
    </xf>
    <xf numFmtId="173" fontId="3" fillId="32" borderId="0" xfId="0" applyNumberFormat="1" applyFont="1" applyFill="1" applyBorder="1" applyAlignment="1">
      <alignment/>
    </xf>
    <xf numFmtId="173" fontId="3" fillId="32" borderId="15" xfId="0" applyNumberFormat="1" applyFont="1" applyFill="1" applyBorder="1" applyAlignment="1">
      <alignment/>
    </xf>
    <xf numFmtId="173" fontId="3" fillId="32" borderId="20" xfId="0" applyNumberFormat="1" applyFont="1" applyFill="1" applyBorder="1" applyAlignment="1">
      <alignment/>
    </xf>
    <xf numFmtId="173" fontId="3" fillId="32" borderId="19" xfId="0" applyNumberFormat="1" applyFont="1" applyFill="1" applyBorder="1" applyAlignment="1">
      <alignment/>
    </xf>
    <xf numFmtId="173" fontId="3" fillId="32" borderId="21" xfId="0" applyNumberFormat="1" applyFont="1" applyFill="1" applyBorder="1" applyAlignment="1">
      <alignment/>
    </xf>
    <xf numFmtId="2" fontId="3" fillId="32" borderId="0" xfId="0" applyNumberFormat="1" applyFont="1" applyFill="1" applyBorder="1" applyAlignment="1">
      <alignment/>
    </xf>
    <xf numFmtId="0" fontId="3" fillId="33" borderId="15" xfId="0" applyFont="1" applyFill="1" applyBorder="1" applyAlignment="1">
      <alignment/>
    </xf>
    <xf numFmtId="0" fontId="4" fillId="33" borderId="14" xfId="0" applyFont="1" applyFill="1" applyBorder="1" applyAlignment="1">
      <alignment/>
    </xf>
    <xf numFmtId="0" fontId="4" fillId="33" borderId="15" xfId="0" applyFont="1" applyFill="1" applyBorder="1" applyAlignment="1">
      <alignment/>
    </xf>
    <xf numFmtId="9" fontId="4" fillId="33" borderId="0" xfId="0" applyNumberFormat="1" applyFont="1" applyFill="1" applyBorder="1" applyAlignment="1">
      <alignment/>
    </xf>
    <xf numFmtId="165" fontId="4" fillId="33" borderId="0" xfId="0" applyNumberFormat="1" applyFont="1" applyFill="1" applyBorder="1" applyAlignment="1">
      <alignment/>
    </xf>
    <xf numFmtId="9" fontId="3" fillId="33" borderId="0" xfId="0" applyNumberFormat="1" applyFont="1" applyFill="1" applyBorder="1" applyAlignment="1">
      <alignment/>
    </xf>
    <xf numFmtId="165" fontId="3" fillId="33" borderId="0" xfId="0" applyNumberFormat="1" applyFont="1" applyFill="1" applyBorder="1" applyAlignment="1">
      <alignment/>
    </xf>
    <xf numFmtId="0" fontId="4" fillId="33" borderId="0" xfId="0" applyFont="1" applyFill="1" applyBorder="1" applyAlignment="1">
      <alignment horizontal="center"/>
    </xf>
    <xf numFmtId="0" fontId="4" fillId="11" borderId="28" xfId="0" applyFont="1" applyFill="1" applyBorder="1" applyAlignment="1">
      <alignment/>
    </xf>
    <xf numFmtId="0" fontId="3" fillId="0" borderId="14" xfId="0" applyFont="1" applyFill="1" applyBorder="1" applyAlignment="1" applyProtection="1">
      <alignment/>
      <protection locked="0"/>
    </xf>
    <xf numFmtId="0" fontId="3" fillId="11" borderId="20" xfId="0" applyFont="1" applyFill="1" applyBorder="1" applyAlignment="1" applyProtection="1">
      <alignment horizontal="right"/>
      <protection locked="0"/>
    </xf>
    <xf numFmtId="0" fontId="4" fillId="11" borderId="29" xfId="0" applyFont="1" applyFill="1" applyBorder="1" applyAlignment="1">
      <alignment/>
    </xf>
    <xf numFmtId="0" fontId="3" fillId="11" borderId="19" xfId="0" applyFont="1" applyFill="1" applyBorder="1" applyAlignment="1" applyProtection="1">
      <alignment horizontal="right"/>
      <protection locked="0"/>
    </xf>
    <xf numFmtId="0" fontId="4" fillId="11" borderId="30" xfId="0" applyFont="1" applyFill="1" applyBorder="1" applyAlignment="1">
      <alignment/>
    </xf>
    <xf numFmtId="0" fontId="3" fillId="11" borderId="15" xfId="0" applyFont="1" applyFill="1" applyBorder="1" applyAlignment="1" applyProtection="1">
      <alignment/>
      <protection/>
    </xf>
    <xf numFmtId="0" fontId="3" fillId="11" borderId="21" xfId="0" applyFont="1" applyFill="1" applyBorder="1" applyAlignment="1" applyProtection="1">
      <alignment horizontal="right"/>
      <protection locked="0"/>
    </xf>
    <xf numFmtId="1" fontId="3" fillId="11" borderId="15" xfId="0" applyNumberFormat="1" applyFont="1" applyFill="1" applyBorder="1" applyAlignment="1">
      <alignment/>
    </xf>
    <xf numFmtId="2" fontId="3" fillId="0" borderId="14" xfId="0" applyNumberFormat="1" applyFont="1" applyFill="1" applyBorder="1" applyAlignment="1" applyProtection="1">
      <alignment/>
      <protection locked="0"/>
    </xf>
    <xf numFmtId="2" fontId="3" fillId="11" borderId="15" xfId="0" applyNumberFormat="1" applyFont="1" applyFill="1" applyBorder="1" applyAlignment="1">
      <alignment/>
    </xf>
    <xf numFmtId="0" fontId="3" fillId="0" borderId="14" xfId="0" applyFont="1" applyFill="1" applyBorder="1" applyAlignment="1">
      <alignment/>
    </xf>
    <xf numFmtId="0" fontId="3" fillId="11" borderId="20" xfId="0" applyFont="1" applyFill="1" applyBorder="1" applyAlignment="1">
      <alignment horizontal="right"/>
    </xf>
    <xf numFmtId="0" fontId="3" fillId="11" borderId="21" xfId="0" applyFont="1" applyFill="1" applyBorder="1" applyAlignment="1">
      <alignment horizontal="right"/>
    </xf>
    <xf numFmtId="0" fontId="3" fillId="11" borderId="20" xfId="0" applyFont="1" applyFill="1" applyBorder="1" applyAlignment="1">
      <alignment/>
    </xf>
    <xf numFmtId="0" fontId="3" fillId="11" borderId="19" xfId="0" applyFont="1" applyFill="1" applyBorder="1" applyAlignment="1">
      <alignment/>
    </xf>
    <xf numFmtId="0" fontId="3" fillId="11" borderId="21" xfId="0" applyFont="1" applyFill="1" applyBorder="1" applyAlignment="1">
      <alignment/>
    </xf>
    <xf numFmtId="0" fontId="3" fillId="0" borderId="15" xfId="0" applyFont="1" applyFill="1" applyBorder="1" applyAlignment="1" applyProtection="1">
      <alignment/>
      <protection locked="0"/>
    </xf>
    <xf numFmtId="0" fontId="4" fillId="0" borderId="0" xfId="0" applyFont="1" applyAlignment="1">
      <alignment horizontal="right"/>
    </xf>
    <xf numFmtId="0" fontId="3" fillId="0" borderId="0" xfId="0" applyFont="1" applyFill="1" applyBorder="1" applyAlignment="1">
      <alignment horizontal="right" vertical="top" wrapText="1"/>
    </xf>
    <xf numFmtId="0" fontId="4" fillId="7" borderId="16" xfId="0" applyFont="1" applyFill="1" applyBorder="1" applyAlignment="1">
      <alignment/>
    </xf>
    <xf numFmtId="0" fontId="3" fillId="7" borderId="16" xfId="0" applyFont="1" applyFill="1" applyBorder="1" applyAlignment="1">
      <alignment/>
    </xf>
    <xf numFmtId="0" fontId="3" fillId="7" borderId="0" xfId="0" applyFont="1" applyFill="1" applyAlignment="1">
      <alignment/>
    </xf>
    <xf numFmtId="0" fontId="3" fillId="7" borderId="0" xfId="0" applyFont="1" applyFill="1" applyBorder="1" applyAlignment="1">
      <alignment/>
    </xf>
    <xf numFmtId="0" fontId="4" fillId="7" borderId="0" xfId="0" applyFont="1" applyFill="1" applyAlignment="1">
      <alignment/>
    </xf>
    <xf numFmtId="2" fontId="3" fillId="7" borderId="0" xfId="0" applyNumberFormat="1" applyFont="1" applyFill="1" applyAlignment="1">
      <alignment/>
    </xf>
    <xf numFmtId="0" fontId="3" fillId="7" borderId="0" xfId="0" applyFont="1" applyFill="1" applyBorder="1" applyAlignment="1">
      <alignment horizontal="right"/>
    </xf>
    <xf numFmtId="174" fontId="3" fillId="7" borderId="0" xfId="0" applyNumberFormat="1" applyFont="1" applyFill="1" applyAlignment="1">
      <alignment/>
    </xf>
    <xf numFmtId="174" fontId="4" fillId="7" borderId="0" xfId="0" applyNumberFormat="1" applyFont="1" applyFill="1" applyAlignment="1">
      <alignment/>
    </xf>
    <xf numFmtId="0" fontId="4" fillId="7" borderId="0" xfId="0" applyFont="1" applyFill="1" applyBorder="1" applyAlignment="1">
      <alignment vertical="top" wrapText="1"/>
    </xf>
    <xf numFmtId="0" fontId="3" fillId="7" borderId="14" xfId="0" applyFont="1" applyFill="1" applyBorder="1" applyAlignment="1">
      <alignment/>
    </xf>
    <xf numFmtId="0" fontId="3" fillId="7" borderId="20" xfId="0" applyFont="1" applyFill="1" applyBorder="1" applyAlignment="1">
      <alignment/>
    </xf>
    <xf numFmtId="0" fontId="4" fillId="7" borderId="30" xfId="0" applyFont="1" applyFill="1" applyBorder="1" applyAlignment="1">
      <alignment/>
    </xf>
    <xf numFmtId="0" fontId="4" fillId="7" borderId="15" xfId="0" applyFont="1" applyFill="1" applyBorder="1" applyAlignment="1">
      <alignment/>
    </xf>
    <xf numFmtId="0" fontId="4" fillId="7" borderId="21" xfId="0" applyFont="1" applyFill="1" applyBorder="1" applyAlignment="1">
      <alignment/>
    </xf>
    <xf numFmtId="0" fontId="3" fillId="0" borderId="0" xfId="0" applyFont="1" applyFill="1" applyBorder="1" applyAlignment="1">
      <alignment horizontal="left"/>
    </xf>
    <xf numFmtId="167" fontId="3" fillId="0" borderId="0" xfId="42" applyNumberFormat="1" applyFont="1" applyFill="1" applyBorder="1" applyAlignment="1">
      <alignment/>
    </xf>
    <xf numFmtId="43" fontId="3" fillId="0" borderId="0" xfId="0" applyNumberFormat="1" applyFont="1" applyFill="1" applyBorder="1" applyAlignment="1">
      <alignment/>
    </xf>
    <xf numFmtId="0" fontId="3" fillId="0" borderId="0" xfId="0" applyFont="1" applyFill="1" applyBorder="1" applyAlignment="1">
      <alignment horizontal="left" vertical="top" wrapText="1"/>
    </xf>
    <xf numFmtId="0" fontId="3" fillId="7" borderId="29" xfId="0" applyFont="1" applyFill="1" applyBorder="1" applyAlignment="1">
      <alignment horizontal="right" vertical="top" wrapText="1"/>
    </xf>
    <xf numFmtId="0" fontId="3" fillId="7" borderId="0" xfId="0" applyFont="1" applyFill="1" applyBorder="1" applyAlignment="1">
      <alignment horizontal="right" vertical="top" wrapText="1"/>
    </xf>
    <xf numFmtId="0" fontId="3" fillId="7" borderId="19" xfId="0" applyFont="1" applyFill="1" applyBorder="1" applyAlignment="1">
      <alignment horizontal="right" vertical="top" wrapText="1"/>
    </xf>
    <xf numFmtId="0" fontId="3" fillId="7" borderId="0" xfId="0" applyFont="1" applyFill="1" applyBorder="1" applyAlignment="1">
      <alignment vertical="top" wrapText="1"/>
    </xf>
    <xf numFmtId="0" fontId="3" fillId="7" borderId="19" xfId="0" applyFont="1" applyFill="1" applyBorder="1" applyAlignment="1">
      <alignment vertical="top" wrapText="1"/>
    </xf>
    <xf numFmtId="0" fontId="3" fillId="7" borderId="30" xfId="0" applyFont="1" applyFill="1" applyBorder="1" applyAlignment="1">
      <alignment horizontal="right" vertical="top" wrapText="1"/>
    </xf>
    <xf numFmtId="0" fontId="3" fillId="7" borderId="15" xfId="0" applyFont="1" applyFill="1" applyBorder="1" applyAlignment="1">
      <alignment/>
    </xf>
    <xf numFmtId="0" fontId="3" fillId="7" borderId="15" xfId="0" applyFont="1" applyFill="1" applyBorder="1" applyAlignment="1">
      <alignment vertical="top" wrapText="1"/>
    </xf>
    <xf numFmtId="0" fontId="3" fillId="7" borderId="21" xfId="0" applyFont="1" applyFill="1" applyBorder="1" applyAlignment="1">
      <alignment vertical="top" wrapText="1"/>
    </xf>
    <xf numFmtId="0" fontId="3" fillId="7" borderId="28" xfId="0" applyFont="1" applyFill="1" applyBorder="1" applyAlignment="1">
      <alignment/>
    </xf>
    <xf numFmtId="0" fontId="3" fillId="7" borderId="29" xfId="0" applyFont="1" applyFill="1" applyBorder="1" applyAlignment="1">
      <alignment/>
    </xf>
    <xf numFmtId="0" fontId="3" fillId="7" borderId="19" xfId="0" applyFont="1" applyFill="1" applyBorder="1" applyAlignment="1">
      <alignment horizontal="right"/>
    </xf>
    <xf numFmtId="0" fontId="3" fillId="7" borderId="30" xfId="0" applyFont="1" applyFill="1" applyBorder="1" applyAlignment="1">
      <alignment/>
    </xf>
    <xf numFmtId="0" fontId="3" fillId="7" borderId="15" xfId="0" applyFont="1" applyFill="1" applyBorder="1" applyAlignment="1">
      <alignment horizontal="right"/>
    </xf>
    <xf numFmtId="0" fontId="3" fillId="7" borderId="21" xfId="0" applyFont="1" applyFill="1" applyBorder="1" applyAlignment="1">
      <alignment horizontal="right"/>
    </xf>
    <xf numFmtId="0" fontId="80" fillId="35" borderId="0" xfId="0" applyFont="1" applyFill="1" applyAlignment="1" applyProtection="1">
      <alignment/>
      <protection/>
    </xf>
    <xf numFmtId="0" fontId="78" fillId="35" borderId="0" xfId="0" applyFont="1" applyFill="1" applyAlignment="1" applyProtection="1">
      <alignment/>
      <protection/>
    </xf>
    <xf numFmtId="0" fontId="3" fillId="0" borderId="28" xfId="0" applyFont="1" applyFill="1" applyBorder="1" applyAlignment="1">
      <alignment/>
    </xf>
    <xf numFmtId="0" fontId="3" fillId="0" borderId="20" xfId="0" applyFont="1" applyFill="1" applyBorder="1" applyAlignment="1">
      <alignment/>
    </xf>
    <xf numFmtId="0" fontId="3" fillId="0" borderId="29" xfId="0" applyFont="1" applyFill="1" applyBorder="1" applyAlignment="1">
      <alignment/>
    </xf>
    <xf numFmtId="0" fontId="4" fillId="0" borderId="19" xfId="0" applyFont="1" applyFill="1" applyBorder="1" applyAlignment="1">
      <alignment vertical="top" wrapText="1"/>
    </xf>
    <xf numFmtId="0" fontId="3" fillId="0" borderId="19" xfId="0" applyFont="1" applyFill="1" applyBorder="1" applyAlignment="1">
      <alignment/>
    </xf>
    <xf numFmtId="0" fontId="3" fillId="0" borderId="30" xfId="0" applyFont="1" applyFill="1" applyBorder="1" applyAlignment="1">
      <alignment/>
    </xf>
    <xf numFmtId="0" fontId="4" fillId="0" borderId="15" xfId="0" applyFont="1" applyFill="1" applyBorder="1" applyAlignment="1">
      <alignment/>
    </xf>
    <xf numFmtId="0" fontId="3" fillId="0" borderId="21" xfId="0" applyFont="1" applyFill="1" applyBorder="1" applyAlignment="1">
      <alignment/>
    </xf>
    <xf numFmtId="0" fontId="81" fillId="0" borderId="14" xfId="0" applyFont="1" applyFill="1" applyBorder="1" applyAlignment="1">
      <alignment/>
    </xf>
    <xf numFmtId="165" fontId="2" fillId="11" borderId="15" xfId="0" applyNumberFormat="1" applyFont="1" applyFill="1" applyBorder="1" applyAlignment="1" applyProtection="1">
      <alignment/>
      <protection/>
    </xf>
    <xf numFmtId="0" fontId="2" fillId="0" borderId="0" xfId="0" applyFont="1" applyFill="1" applyBorder="1" applyAlignment="1">
      <alignment horizontal="left"/>
    </xf>
    <xf numFmtId="0" fontId="2" fillId="0" borderId="0" xfId="0" applyFont="1" applyFill="1" applyBorder="1" applyAlignment="1" applyProtection="1">
      <alignment/>
      <protection locked="0"/>
    </xf>
    <xf numFmtId="0" fontId="2" fillId="0" borderId="0" xfId="0" applyFont="1" applyFill="1" applyBorder="1" applyAlignment="1">
      <alignment/>
    </xf>
    <xf numFmtId="0" fontId="2" fillId="0" borderId="0" xfId="0" applyFont="1" applyFill="1" applyBorder="1" applyAlignment="1" applyProtection="1">
      <alignment/>
      <protection/>
    </xf>
    <xf numFmtId="0" fontId="2" fillId="35" borderId="0" xfId="0" applyFont="1" applyFill="1" applyBorder="1" applyAlignment="1" applyProtection="1">
      <alignment/>
      <protection/>
    </xf>
    <xf numFmtId="0" fontId="13" fillId="35" borderId="0" xfId="0" applyFont="1" applyFill="1" applyBorder="1" applyAlignment="1" applyProtection="1">
      <alignment/>
      <protection/>
    </xf>
    <xf numFmtId="0" fontId="2" fillId="35" borderId="0" xfId="0" applyFont="1" applyFill="1" applyBorder="1" applyAlignment="1" applyProtection="1">
      <alignment/>
      <protection/>
    </xf>
    <xf numFmtId="0" fontId="2" fillId="11" borderId="17" xfId="0" applyFont="1" applyFill="1" applyBorder="1" applyAlignment="1" applyProtection="1">
      <alignment/>
      <protection/>
    </xf>
    <xf numFmtId="0" fontId="2" fillId="11" borderId="16" xfId="0" applyFont="1" applyFill="1" applyBorder="1" applyAlignment="1" applyProtection="1">
      <alignment/>
      <protection/>
    </xf>
    <xf numFmtId="0" fontId="2" fillId="11" borderId="18" xfId="0" applyFont="1" applyFill="1" applyBorder="1" applyAlignment="1" applyProtection="1">
      <alignment/>
      <protection/>
    </xf>
    <xf numFmtId="0" fontId="5" fillId="11" borderId="17" xfId="0" applyFont="1" applyFill="1" applyBorder="1" applyAlignment="1" applyProtection="1">
      <alignment/>
      <protection/>
    </xf>
    <xf numFmtId="0" fontId="5" fillId="11" borderId="16" xfId="0" applyFont="1" applyFill="1" applyBorder="1" applyAlignment="1" applyProtection="1">
      <alignment horizontal="right"/>
      <protection/>
    </xf>
    <xf numFmtId="0" fontId="2" fillId="11" borderId="29" xfId="0" applyFont="1" applyFill="1" applyBorder="1" applyAlignment="1" applyProtection="1">
      <alignment/>
      <protection/>
    </xf>
    <xf numFmtId="3" fontId="2" fillId="11" borderId="19" xfId="42" applyNumberFormat="1" applyFont="1" applyFill="1" applyBorder="1" applyAlignment="1" applyProtection="1">
      <alignment/>
      <protection/>
    </xf>
    <xf numFmtId="0" fontId="2" fillId="11" borderId="0" xfId="0" applyFont="1" applyFill="1" applyBorder="1" applyAlignment="1" applyProtection="1">
      <alignment horizontal="right"/>
      <protection/>
    </xf>
    <xf numFmtId="166" fontId="2" fillId="11" borderId="19" xfId="0" applyNumberFormat="1" applyFont="1" applyFill="1" applyBorder="1" applyAlignment="1" applyProtection="1">
      <alignment/>
      <protection/>
    </xf>
    <xf numFmtId="0" fontId="2" fillId="11" borderId="19" xfId="0" applyFont="1" applyFill="1" applyBorder="1" applyAlignment="1" applyProtection="1">
      <alignment/>
      <protection/>
    </xf>
    <xf numFmtId="4" fontId="2" fillId="11" borderId="19" xfId="42" applyNumberFormat="1" applyFont="1" applyFill="1" applyBorder="1" applyAlignment="1" applyProtection="1">
      <alignment/>
      <protection/>
    </xf>
    <xf numFmtId="0" fontId="2" fillId="11" borderId="30" xfId="0" applyFont="1" applyFill="1" applyBorder="1" applyAlignment="1" applyProtection="1">
      <alignment/>
      <protection/>
    </xf>
    <xf numFmtId="0" fontId="2" fillId="11" borderId="21" xfId="0" applyFont="1" applyFill="1" applyBorder="1" applyAlignment="1" applyProtection="1">
      <alignment/>
      <protection/>
    </xf>
    <xf numFmtId="3" fontId="2" fillId="11" borderId="21" xfId="42" applyNumberFormat="1" applyFont="1" applyFill="1" applyBorder="1" applyAlignment="1" applyProtection="1">
      <alignment/>
      <protection/>
    </xf>
    <xf numFmtId="0" fontId="2" fillId="11" borderId="15" xfId="0" applyFont="1" applyFill="1" applyBorder="1" applyAlignment="1" applyProtection="1">
      <alignment/>
      <protection/>
    </xf>
    <xf numFmtId="43" fontId="2" fillId="35" borderId="0" xfId="0" applyNumberFormat="1" applyFont="1" applyFill="1" applyBorder="1" applyAlignment="1" applyProtection="1">
      <alignment/>
      <protection/>
    </xf>
    <xf numFmtId="165" fontId="2" fillId="35" borderId="0" xfId="0" applyNumberFormat="1" applyFont="1" applyFill="1" applyBorder="1" applyAlignment="1" applyProtection="1">
      <alignment/>
      <protection/>
    </xf>
    <xf numFmtId="0" fontId="19" fillId="35" borderId="0" xfId="0" applyFont="1" applyFill="1" applyBorder="1" applyAlignment="1" applyProtection="1">
      <alignment/>
      <protection/>
    </xf>
    <xf numFmtId="0" fontId="3" fillId="0" borderId="31" xfId="0" applyFont="1" applyFill="1" applyBorder="1" applyAlignment="1" applyProtection="1">
      <alignment/>
      <protection locked="0"/>
    </xf>
    <xf numFmtId="0" fontId="24" fillId="0" borderId="11" xfId="0" applyFont="1" applyBorder="1" applyAlignment="1">
      <alignment horizontal="center" wrapText="1"/>
    </xf>
    <xf numFmtId="0" fontId="3" fillId="0" borderId="11" xfId="0" applyFont="1" applyBorder="1" applyAlignment="1">
      <alignment wrapText="1"/>
    </xf>
    <xf numFmtId="1" fontId="3" fillId="32" borderId="14" xfId="0" applyNumberFormat="1" applyFont="1" applyFill="1" applyBorder="1" applyAlignment="1">
      <alignment/>
    </xf>
    <xf numFmtId="1" fontId="3" fillId="32" borderId="0" xfId="0" applyNumberFormat="1" applyFont="1" applyFill="1" applyBorder="1" applyAlignment="1">
      <alignment/>
    </xf>
    <xf numFmtId="1" fontId="3" fillId="32" borderId="15" xfId="0" applyNumberFormat="1" applyFont="1" applyFill="1" applyBorder="1" applyAlignment="1">
      <alignment/>
    </xf>
    <xf numFmtId="0" fontId="4" fillId="0" borderId="0" xfId="0" applyFont="1" applyFill="1" applyBorder="1" applyAlignment="1">
      <alignment vertical="top"/>
    </xf>
    <xf numFmtId="0" fontId="81" fillId="11" borderId="0" xfId="0" applyFont="1" applyFill="1" applyBorder="1" applyAlignment="1">
      <alignment/>
    </xf>
    <xf numFmtId="0" fontId="3" fillId="11" borderId="0" xfId="0" applyFont="1" applyFill="1" applyBorder="1" applyAlignment="1" applyProtection="1">
      <alignment/>
      <protection locked="0"/>
    </xf>
    <xf numFmtId="0" fontId="82" fillId="11" borderId="0" xfId="0" applyFont="1" applyFill="1" applyBorder="1" applyAlignment="1" applyProtection="1">
      <alignment/>
      <protection/>
    </xf>
    <xf numFmtId="0" fontId="82" fillId="11" borderId="15" xfId="0" applyFont="1" applyFill="1" applyBorder="1" applyAlignment="1" applyProtection="1">
      <alignment/>
      <protection/>
    </xf>
    <xf numFmtId="0" fontId="5" fillId="11" borderId="16" xfId="0" applyFont="1" applyFill="1" applyBorder="1" applyAlignment="1" applyProtection="1">
      <alignment/>
      <protection/>
    </xf>
    <xf numFmtId="0" fontId="5" fillId="11" borderId="18" xfId="0" applyFont="1" applyFill="1" applyBorder="1" applyAlignment="1" applyProtection="1">
      <alignment/>
      <protection/>
    </xf>
    <xf numFmtId="0" fontId="5" fillId="8" borderId="16" xfId="0" applyFont="1" applyFill="1" applyBorder="1" applyAlignment="1" applyProtection="1">
      <alignment/>
      <protection/>
    </xf>
    <xf numFmtId="0" fontId="4" fillId="8" borderId="0" xfId="0" applyFont="1" applyFill="1" applyBorder="1" applyAlignment="1">
      <alignment horizontal="center"/>
    </xf>
    <xf numFmtId="0" fontId="5" fillId="10" borderId="16" xfId="0" applyFont="1" applyFill="1" applyBorder="1" applyAlignment="1" applyProtection="1">
      <alignment/>
      <protection/>
    </xf>
    <xf numFmtId="0" fontId="3" fillId="10" borderId="0" xfId="0" applyFont="1" applyFill="1" applyBorder="1" applyAlignment="1">
      <alignment horizontal="right"/>
    </xf>
    <xf numFmtId="0" fontId="5" fillId="3" borderId="16" xfId="0" applyFont="1" applyFill="1" applyBorder="1" applyAlignment="1" applyProtection="1">
      <alignment/>
      <protection/>
    </xf>
    <xf numFmtId="0" fontId="3" fillId="3" borderId="0" xfId="0" applyFont="1" applyFill="1" applyAlignment="1">
      <alignment/>
    </xf>
    <xf numFmtId="0" fontId="5" fillId="32" borderId="16" xfId="0" applyFont="1" applyFill="1" applyBorder="1" applyAlignment="1" applyProtection="1">
      <alignment/>
      <protection/>
    </xf>
    <xf numFmtId="173" fontId="4" fillId="32" borderId="0" xfId="0" applyNumberFormat="1" applyFont="1" applyFill="1" applyAlignment="1">
      <alignment/>
    </xf>
    <xf numFmtId="175" fontId="4" fillId="9" borderId="0" xfId="0" applyNumberFormat="1" applyFont="1" applyFill="1" applyBorder="1" applyAlignment="1">
      <alignment horizontal="center"/>
    </xf>
    <xf numFmtId="172" fontId="4" fillId="9" borderId="0" xfId="0" applyNumberFormat="1" applyFont="1" applyFill="1" applyBorder="1" applyAlignment="1">
      <alignment horizontal="center"/>
    </xf>
    <xf numFmtId="174" fontId="3" fillId="0" borderId="0" xfId="0" applyNumberFormat="1" applyFont="1" applyAlignment="1">
      <alignment/>
    </xf>
    <xf numFmtId="176" fontId="2" fillId="11" borderId="21" xfId="42" applyNumberFormat="1" applyFont="1" applyFill="1" applyBorder="1" applyAlignment="1" applyProtection="1">
      <alignment/>
      <protection/>
    </xf>
    <xf numFmtId="165" fontId="3" fillId="32" borderId="15" xfId="0" applyNumberFormat="1" applyFont="1" applyFill="1" applyBorder="1" applyAlignment="1">
      <alignment/>
    </xf>
    <xf numFmtId="176" fontId="2" fillId="11" borderId="19" xfId="42" applyNumberFormat="1" applyFont="1" applyFill="1" applyBorder="1" applyAlignment="1" applyProtection="1">
      <alignment/>
      <protection/>
    </xf>
    <xf numFmtId="0" fontId="5" fillId="11" borderId="16" xfId="0" applyFont="1" applyFill="1" applyBorder="1" applyAlignment="1" applyProtection="1">
      <alignment/>
      <protection/>
    </xf>
    <xf numFmtId="0" fontId="4" fillId="7" borderId="17" xfId="0" applyFont="1" applyFill="1" applyBorder="1" applyAlignment="1">
      <alignment/>
    </xf>
    <xf numFmtId="0" fontId="3" fillId="7" borderId="18" xfId="0" applyFont="1" applyFill="1" applyBorder="1" applyAlignment="1">
      <alignment/>
    </xf>
    <xf numFmtId="0" fontId="4" fillId="33" borderId="17" xfId="0" applyFont="1" applyFill="1" applyBorder="1" applyAlignment="1">
      <alignment/>
    </xf>
    <xf numFmtId="0" fontId="3" fillId="33" borderId="16" xfId="0" applyFont="1" applyFill="1" applyBorder="1" applyAlignment="1">
      <alignment/>
    </xf>
    <xf numFmtId="0" fontId="3" fillId="33" borderId="18" xfId="0" applyFont="1" applyFill="1" applyBorder="1" applyAlignment="1">
      <alignment/>
    </xf>
    <xf numFmtId="0" fontId="83" fillId="0" borderId="0" xfId="24" applyFont="1" applyFill="1" applyBorder="1" applyAlignment="1">
      <alignment horizontal="right"/>
    </xf>
    <xf numFmtId="0" fontId="5" fillId="11" borderId="18" xfId="0" applyNumberFormat="1" applyFont="1" applyFill="1" applyBorder="1" applyAlignment="1" applyProtection="1">
      <alignment/>
      <protection/>
    </xf>
    <xf numFmtId="166" fontId="2" fillId="11" borderId="21" xfId="0" applyNumberFormat="1" applyFont="1" applyFill="1" applyBorder="1" applyAlignment="1" applyProtection="1">
      <alignment/>
      <protection/>
    </xf>
    <xf numFmtId="0" fontId="2" fillId="11" borderId="15" xfId="0" applyFont="1" applyFill="1" applyBorder="1" applyAlignment="1" applyProtection="1">
      <alignment horizontal="right"/>
      <protection/>
    </xf>
    <xf numFmtId="0" fontId="2" fillId="11" borderId="29" xfId="0" applyFont="1" applyFill="1" applyBorder="1" applyAlignment="1" applyProtection="1">
      <alignment horizontal="left"/>
      <protection/>
    </xf>
    <xf numFmtId="0" fontId="2" fillId="11" borderId="28" xfId="0" applyFont="1" applyFill="1" applyBorder="1" applyAlignment="1" applyProtection="1">
      <alignment/>
      <protection/>
    </xf>
    <xf numFmtId="0" fontId="2" fillId="11" borderId="14" xfId="0" applyFont="1" applyFill="1" applyBorder="1" applyAlignment="1" applyProtection="1">
      <alignment/>
      <protection/>
    </xf>
    <xf numFmtId="0" fontId="2" fillId="11" borderId="20" xfId="0" applyFont="1" applyFill="1" applyBorder="1" applyAlignment="1" applyProtection="1">
      <alignment/>
      <protection/>
    </xf>
    <xf numFmtId="0" fontId="84" fillId="11" borderId="0" xfId="0" applyFont="1" applyFill="1" applyBorder="1" applyAlignment="1" applyProtection="1">
      <alignment/>
      <protection/>
    </xf>
    <xf numFmtId="0" fontId="3" fillId="3" borderId="31" xfId="0" applyFont="1" applyFill="1" applyBorder="1" applyAlignment="1">
      <alignment/>
    </xf>
    <xf numFmtId="0" fontId="3" fillId="3" borderId="32" xfId="0" applyFont="1" applyFill="1" applyBorder="1" applyAlignment="1">
      <alignment/>
    </xf>
    <xf numFmtId="0" fontId="3" fillId="0" borderId="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3" fillId="19" borderId="0" xfId="0" applyFont="1" applyFill="1" applyBorder="1" applyAlignment="1">
      <alignment/>
    </xf>
    <xf numFmtId="0" fontId="3" fillId="19" borderId="0" xfId="0" applyFont="1" applyFill="1" applyBorder="1" applyAlignment="1" quotePrefix="1">
      <alignment/>
    </xf>
    <xf numFmtId="0" fontId="27" fillId="0" borderId="0" xfId="0" applyFont="1" applyAlignment="1">
      <alignment/>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85" fillId="0" borderId="27" xfId="0" applyFont="1" applyBorder="1" applyAlignment="1">
      <alignment horizontal="center" vertical="center"/>
    </xf>
    <xf numFmtId="0" fontId="86" fillId="36" borderId="10" xfId="0" applyFont="1" applyFill="1" applyBorder="1" applyAlignment="1">
      <alignment horizontal="center" vertical="center" wrapText="1"/>
    </xf>
    <xf numFmtId="0" fontId="86" fillId="36" borderId="23" xfId="0" applyFont="1" applyFill="1" applyBorder="1" applyAlignment="1">
      <alignment horizontal="center" vertical="center" wrapText="1"/>
    </xf>
    <xf numFmtId="0" fontId="86" fillId="36" borderId="13" xfId="0" applyFont="1" applyFill="1" applyBorder="1" applyAlignment="1">
      <alignment horizontal="center" vertical="center" wrapText="1"/>
    </xf>
    <xf numFmtId="0" fontId="85" fillId="0" borderId="27" xfId="0" applyFont="1" applyBorder="1" applyAlignment="1">
      <alignment horizontal="center" vertical="center" wrapText="1"/>
    </xf>
    <xf numFmtId="0" fontId="86" fillId="36" borderId="27" xfId="0" applyFont="1" applyFill="1" applyBorder="1" applyAlignment="1">
      <alignment horizontal="center" vertical="center" wrapText="1"/>
    </xf>
    <xf numFmtId="0" fontId="86" fillId="36" borderId="13" xfId="0" applyFont="1" applyFill="1" applyBorder="1" applyAlignment="1">
      <alignment vertical="center" wrapText="1"/>
    </xf>
    <xf numFmtId="0" fontId="85" fillId="36" borderId="27" xfId="0" applyFont="1" applyFill="1" applyBorder="1" applyAlignment="1">
      <alignment horizontal="right" vertical="center" wrapText="1"/>
    </xf>
    <xf numFmtId="0" fontId="28" fillId="36" borderId="27" xfId="0" applyFont="1" applyFill="1" applyBorder="1" applyAlignment="1">
      <alignment horizontal="center" vertical="center"/>
    </xf>
    <xf numFmtId="0" fontId="28" fillId="36" borderId="23" xfId="0" applyFont="1" applyFill="1" applyBorder="1" applyAlignment="1">
      <alignment horizontal="center" vertical="center"/>
    </xf>
    <xf numFmtId="0" fontId="28" fillId="36" borderId="13" xfId="0" applyFont="1" applyFill="1" applyBorder="1" applyAlignment="1">
      <alignment vertical="center"/>
    </xf>
    <xf numFmtId="0" fontId="85" fillId="36" borderId="27" xfId="0" applyFont="1" applyFill="1" applyBorder="1" applyAlignment="1">
      <alignment horizontal="center" vertical="center"/>
    </xf>
    <xf numFmtId="0" fontId="4" fillId="0" borderId="0" xfId="0" applyFont="1" applyAlignment="1">
      <alignment horizontal="left" vertical="center"/>
    </xf>
    <xf numFmtId="0" fontId="3" fillId="36" borderId="27" xfId="0" applyFont="1" applyFill="1" applyBorder="1" applyAlignment="1">
      <alignment horizontal="center" vertical="center"/>
    </xf>
    <xf numFmtId="0" fontId="85" fillId="36" borderId="33" xfId="0" applyFont="1" applyFill="1" applyBorder="1" applyAlignment="1">
      <alignment vertical="center" wrapText="1"/>
    </xf>
    <xf numFmtId="0" fontId="86" fillId="36" borderId="34" xfId="0" applyFont="1" applyFill="1" applyBorder="1" applyAlignment="1">
      <alignment vertical="center" wrapText="1"/>
    </xf>
    <xf numFmtId="0" fontId="86" fillId="36" borderId="27" xfId="0" applyFont="1" applyFill="1" applyBorder="1" applyAlignment="1">
      <alignment horizontal="center" vertical="center"/>
    </xf>
    <xf numFmtId="0" fontId="86" fillId="36" borderId="35" xfId="0" applyFont="1" applyFill="1" applyBorder="1" applyAlignment="1">
      <alignment horizontal="center" vertical="center"/>
    </xf>
    <xf numFmtId="0" fontId="86" fillId="36" borderId="36" xfId="0" applyFont="1" applyFill="1" applyBorder="1" applyAlignment="1">
      <alignment vertical="center" wrapText="1"/>
    </xf>
    <xf numFmtId="0" fontId="85" fillId="36" borderId="25" xfId="0" applyFont="1" applyFill="1" applyBorder="1" applyAlignment="1">
      <alignment horizontal="center" vertical="center"/>
    </xf>
    <xf numFmtId="0" fontId="85" fillId="36" borderId="37" xfId="0" applyFont="1" applyFill="1" applyBorder="1" applyAlignment="1">
      <alignment horizontal="center" vertical="center"/>
    </xf>
    <xf numFmtId="0" fontId="86" fillId="36" borderId="38" xfId="0" applyFont="1" applyFill="1" applyBorder="1" applyAlignment="1">
      <alignment vertical="center" wrapText="1"/>
    </xf>
    <xf numFmtId="0" fontId="85" fillId="36" borderId="39" xfId="0" applyFont="1" applyFill="1" applyBorder="1" applyAlignment="1">
      <alignment vertical="center"/>
    </xf>
    <xf numFmtId="0" fontId="85" fillId="36" borderId="40" xfId="0" applyFont="1" applyFill="1" applyBorder="1" applyAlignment="1">
      <alignment vertical="center"/>
    </xf>
    <xf numFmtId="0" fontId="85" fillId="0" borderId="41" xfId="0" applyFont="1" applyBorder="1" applyAlignment="1">
      <alignment vertical="center" wrapText="1"/>
    </xf>
    <xf numFmtId="0" fontId="86" fillId="0" borderId="34" xfId="0" applyFont="1" applyBorder="1" applyAlignment="1">
      <alignment vertical="center" wrapText="1"/>
    </xf>
    <xf numFmtId="0" fontId="86" fillId="0" borderId="27" xfId="0" applyFont="1" applyBorder="1" applyAlignment="1">
      <alignment vertical="center"/>
    </xf>
    <xf numFmtId="0" fontId="86" fillId="0" borderId="35" xfId="0" applyFont="1" applyBorder="1" applyAlignment="1">
      <alignment vertical="center"/>
    </xf>
    <xf numFmtId="0" fontId="85" fillId="0" borderId="35" xfId="0" applyFont="1" applyBorder="1" applyAlignment="1">
      <alignment horizontal="center" vertical="center"/>
    </xf>
    <xf numFmtId="0" fontId="86" fillId="0" borderId="10" xfId="0" applyFont="1" applyBorder="1" applyAlignment="1">
      <alignment horizontal="center" vertical="center" wrapText="1"/>
    </xf>
    <xf numFmtId="0" fontId="86"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5" fillId="11" borderId="16" xfId="0" applyFont="1" applyFill="1" applyBorder="1" applyAlignment="1" applyProtection="1">
      <alignment/>
      <protection/>
    </xf>
    <xf numFmtId="0" fontId="3" fillId="0" borderId="0" xfId="0" applyFont="1" applyBorder="1" applyAlignment="1">
      <alignment horizontal="center"/>
    </xf>
    <xf numFmtId="0" fontId="86" fillId="36" borderId="42" xfId="0" applyFont="1" applyFill="1" applyBorder="1" applyAlignment="1">
      <alignment horizontal="center" vertical="center"/>
    </xf>
    <xf numFmtId="0" fontId="86" fillId="36" borderId="43" xfId="0" applyFont="1" applyFill="1" applyBorder="1" applyAlignment="1">
      <alignment horizontal="center" vertical="center"/>
    </xf>
    <xf numFmtId="0" fontId="86" fillId="36" borderId="44" xfId="0" applyFont="1" applyFill="1" applyBorder="1" applyAlignment="1">
      <alignment horizontal="center" vertical="center"/>
    </xf>
    <xf numFmtId="0" fontId="86" fillId="0" borderId="42" xfId="0" applyFont="1" applyBorder="1" applyAlignment="1">
      <alignment horizontal="center" vertical="center"/>
    </xf>
    <xf numFmtId="0" fontId="86" fillId="0" borderId="43" xfId="0" applyFont="1" applyBorder="1" applyAlignment="1">
      <alignment horizontal="center" vertical="center"/>
    </xf>
    <xf numFmtId="0" fontId="86" fillId="0" borderId="44" xfId="0" applyFont="1" applyBorder="1" applyAlignment="1">
      <alignment horizontal="center" vertical="center"/>
    </xf>
    <xf numFmtId="0" fontId="4" fillId="0" borderId="22" xfId="0" applyFont="1" applyBorder="1" applyAlignment="1">
      <alignment horizontal="center" vertical="center"/>
    </xf>
    <xf numFmtId="0" fontId="4" fillId="0" borderId="45" xfId="0" applyFont="1" applyBorder="1" applyAlignment="1">
      <alignment horizontal="center" vertical="center"/>
    </xf>
    <xf numFmtId="0" fontId="4" fillId="0" borderId="23" xfId="0" applyFont="1" applyBorder="1" applyAlignment="1">
      <alignment horizontal="center" vertical="center"/>
    </xf>
    <xf numFmtId="0" fontId="86" fillId="36" borderId="11" xfId="0" applyFont="1" applyFill="1" applyBorder="1" applyAlignment="1">
      <alignment vertical="center" wrapText="1"/>
    </xf>
    <xf numFmtId="0" fontId="86" fillId="36" borderId="13" xfId="0" applyFont="1" applyFill="1" applyBorder="1" applyAlignment="1">
      <alignment vertical="center" wrapText="1"/>
    </xf>
    <xf numFmtId="0" fontId="86" fillId="36" borderId="22" xfId="0" applyFont="1" applyFill="1" applyBorder="1" applyAlignment="1">
      <alignment horizontal="center" vertical="center" wrapText="1"/>
    </xf>
    <xf numFmtId="0" fontId="86" fillId="36" borderId="45" xfId="0" applyFont="1" applyFill="1" applyBorder="1" applyAlignment="1">
      <alignment horizontal="center" vertical="center" wrapText="1"/>
    </xf>
    <xf numFmtId="0" fontId="86" fillId="36" borderId="23" xfId="0" applyFont="1" applyFill="1" applyBorder="1" applyAlignment="1">
      <alignment horizontal="center" vertical="center" wrapText="1"/>
    </xf>
    <xf numFmtId="0" fontId="28" fillId="36" borderId="11" xfId="0" applyFont="1" applyFill="1" applyBorder="1" applyAlignment="1">
      <alignment vertical="center"/>
    </xf>
    <xf numFmtId="0" fontId="28" fillId="36" borderId="13" xfId="0" applyFont="1" applyFill="1" applyBorder="1" applyAlignment="1">
      <alignment vertical="center"/>
    </xf>
    <xf numFmtId="0" fontId="4" fillId="36" borderId="22" xfId="0" applyFont="1" applyFill="1" applyBorder="1" applyAlignment="1">
      <alignment horizontal="center" vertical="center"/>
    </xf>
    <xf numFmtId="0" fontId="4" fillId="36" borderId="45" xfId="0" applyFont="1" applyFill="1" applyBorder="1" applyAlignment="1">
      <alignment horizontal="center" vertical="center"/>
    </xf>
    <xf numFmtId="0" fontId="4" fillId="36" borderId="23" xfId="0" applyFont="1" applyFill="1" applyBorder="1" applyAlignment="1">
      <alignment horizontal="center" vertical="center"/>
    </xf>
    <xf numFmtId="0" fontId="4" fillId="33" borderId="0" xfId="0" applyFont="1" applyFill="1" applyBorder="1" applyAlignment="1">
      <alignment horizontal="center"/>
    </xf>
    <xf numFmtId="0" fontId="4" fillId="0" borderId="0" xfId="0" applyFont="1" applyFill="1" applyBorder="1" applyAlignment="1">
      <alignment vertical="top" wrapText="1"/>
    </xf>
    <xf numFmtId="0" fontId="3"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2175"/>
          <c:y val="0.20275"/>
          <c:w val="0.4305"/>
          <c:h val="0.612"/>
        </c:manualLayout>
      </c:layout>
      <c:pieChart>
        <c:varyColors val="1"/>
        <c:ser>
          <c:idx val="0"/>
          <c:order val="0"/>
          <c:spPr>
            <a:solidFill>
              <a:srgbClr val="9999FF"/>
            </a:solidFill>
            <a:ln w="12700">
              <a:solidFill>
                <a:srgbClr val="000000"/>
              </a:solidFill>
            </a:ln>
          </c:spPr>
          <c:explosion val="2"/>
          <c:extLst>
            <c:ext xmlns:c14="http://schemas.microsoft.com/office/drawing/2007/8/2/chart" uri="{6F2FDCE9-48DA-4B69-8628-5D25D57E5C99}">
              <c14:invertSolidFillFmt>
                <c14:spPr>
                  <a:solidFill>
                    <a:srgbClr val="FFFFFF"/>
                  </a:solidFill>
                </c14:spPr>
              </c14:invertSolidFillFmt>
            </c:ext>
          </c:extLst>
          <c:dPt>
            <c:idx val="0"/>
            <c:explosion val="13"/>
            <c:spPr>
              <a:solidFill>
                <a:srgbClr val="99CC00"/>
              </a:solidFill>
              <a:ln w="12700">
                <a:solidFill>
                  <a:srgbClr val="000000"/>
                </a:solidFill>
              </a:ln>
            </c:spPr>
          </c:dPt>
          <c:dPt>
            <c:idx val="1"/>
            <c:explosion val="6"/>
            <c:spPr>
              <a:solidFill>
                <a:srgbClr val="FFFF00"/>
              </a:solidFill>
              <a:ln w="12700">
                <a:solidFill>
                  <a:srgbClr val="000000"/>
                </a:solidFill>
              </a:ln>
            </c:spPr>
          </c:dPt>
          <c:dPt>
            <c:idx val="2"/>
            <c:spPr>
              <a:solidFill>
                <a:srgbClr val="FF0000"/>
              </a:solidFill>
              <a:ln w="12700">
                <a:solidFill>
                  <a:srgbClr val="000000"/>
                </a:solidFill>
              </a:ln>
            </c:spPr>
          </c:dPt>
          <c:dPt>
            <c:idx val="3"/>
            <c:spPr>
              <a:solidFill>
                <a:srgbClr val="0000FF"/>
              </a:solidFill>
              <a:ln w="12700">
                <a:solidFill>
                  <a:srgbClr val="000000"/>
                </a:solidFill>
              </a:ln>
            </c:spPr>
          </c:dPt>
          <c:dPt>
            <c:idx val="4"/>
            <c:explosion val="16"/>
            <c:spPr>
              <a:pattFill prst="dkHorz">
                <a:fgClr>
                  <a:srgbClr val="00FFFF"/>
                </a:fgClr>
                <a:bgClr>
                  <a:srgbClr val="FFFFFF"/>
                </a:bgClr>
              </a:pattFill>
              <a:ln w="12700">
                <a:solidFill>
                  <a:srgbClr val="000000"/>
                </a:solidFill>
              </a:ln>
            </c:spPr>
          </c:dPt>
          <c:dPt>
            <c:idx val="5"/>
            <c:explosion val="15"/>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900" b="0" i="0" u="none" baseline="0">
                      <a:solidFill>
                        <a:srgbClr val="000000"/>
                      </a:solidFill>
                    </a:defRPr>
                  </a:pPr>
                </a:p>
              </c:txPr>
              <c:numFmt formatCode="0%" sourceLinked="0"/>
              <c:spPr>
                <a:noFill/>
                <a:ln w="3175">
                  <a:noFill/>
                </a:ln>
              </c:spPr>
              <c:dLblPos val="bestFit"/>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'Data summary'!$M$4:$M$9</c:f>
              <c:strCache/>
            </c:strRef>
          </c:cat>
          <c:val>
            <c:numRef>
              <c:f>'Data summary'!$N$4:$N$9</c:f>
              <c:numCache/>
            </c:numRef>
          </c:val>
        </c:ser>
        <c:firstSliceAng val="349"/>
      </c:pieChart>
      <c:spPr>
        <a:noFill/>
        <a:ln>
          <a:noFill/>
        </a:ln>
      </c:spPr>
    </c:plotArea>
    <c:plotVisOnly val="1"/>
    <c:dispBlanksAs val="zero"/>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75"/>
          <c:y val="0.35025"/>
          <c:w val="0.5855"/>
          <c:h val="0.5335"/>
        </c:manualLayout>
      </c:layout>
      <c:pie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a:ln w="12700">
                <a:solidFill>
                  <a:srgbClr val="000000"/>
                </a:solidFill>
              </a:ln>
            </c:spPr>
          </c:dPt>
          <c:dPt>
            <c:idx val="1"/>
            <c:spPr>
              <a:solidFill>
                <a:srgbClr val="FFFF00"/>
              </a:solidFill>
              <a:ln w="12700">
                <a:solidFill>
                  <a:srgbClr val="000000"/>
                </a:solidFill>
              </a:ln>
            </c:spPr>
          </c:dPt>
          <c:dPt>
            <c:idx val="2"/>
            <c:spPr>
              <a:solidFill>
                <a:srgbClr val="33CCCC"/>
              </a:solidFill>
              <a:ln w="12700">
                <a:solidFill>
                  <a:srgbClr val="000000"/>
                </a:solidFill>
              </a:ln>
            </c:spPr>
          </c:dPt>
          <c:dLbls>
            <c:dLbl>
              <c:idx val="0"/>
              <c:layout>
                <c:manualLayout>
                  <c:x val="0"/>
                  <c:y val="0"/>
                </c:manualLayout>
              </c:layout>
              <c:txPr>
                <a:bodyPr vert="horz" rot="0" anchor="ctr"/>
                <a:lstStyle/>
                <a:p>
                  <a:pPr algn="ctr">
                    <a:defRPr lang="en-US" cap="none" sz="6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600" b="0" i="0" u="none" baseline="0">
                    <a:solidFill>
                      <a:srgbClr val="000000"/>
                    </a:solidFill>
                  </a:defRPr>
                </a:pPr>
              </a:p>
            </c:txPr>
            <c:dLblPos val="inEnd"/>
            <c:showLegendKey val="0"/>
            <c:showVal val="0"/>
            <c:showBubbleSize val="0"/>
            <c:showCatName val="1"/>
            <c:showSerName val="0"/>
            <c:showLeaderLines val="1"/>
            <c:showPercent val="1"/>
          </c:dLbls>
          <c:cat>
            <c:strRef>
              <c:f>'Data summary'!$O$4:$O$6</c:f>
              <c:strCache/>
            </c:strRef>
          </c:cat>
          <c:val>
            <c:numRef>
              <c:f>'Data summary'!$P$4:$P$6</c:f>
              <c:numCache/>
            </c:numRef>
          </c:val>
        </c:ser>
      </c:pieChart>
      <c:spPr>
        <a:noFill/>
        <a:ln>
          <a:noFill/>
        </a:ln>
      </c:spPr>
    </c:plotArea>
    <c:plotVisOnly val="1"/>
    <c:dispBlanksAs val="zero"/>
    <c:showDLblsOverMax val="0"/>
  </c:chart>
  <c:spPr>
    <a:noFill/>
    <a:ln w="3175">
      <a:noFill/>
    </a:ln>
  </c:spPr>
  <c:txPr>
    <a:bodyPr vert="horz" rot="0"/>
    <a:lstStyle/>
    <a:p>
      <a:pPr>
        <a:defRPr lang="en-US" cap="none" sz="4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Carbon sequestration for forests</a:t>
            </a:r>
          </a:p>
        </c:rich>
      </c:tx>
      <c:layout>
        <c:manualLayout>
          <c:xMode val="factor"/>
          <c:yMode val="factor"/>
          <c:x val="-0.00125"/>
          <c:y val="-0.01175"/>
        </c:manualLayout>
      </c:layout>
      <c:spPr>
        <a:noFill/>
        <a:ln w="3175">
          <a:noFill/>
        </a:ln>
      </c:spPr>
    </c:title>
    <c:plotArea>
      <c:layout>
        <c:manualLayout>
          <c:xMode val="edge"/>
          <c:yMode val="edge"/>
          <c:x val="0.03825"/>
          <c:y val="-0.01275"/>
          <c:w val="0.822"/>
          <c:h val="0.9425"/>
        </c:manualLayout>
      </c:layout>
      <c:lineChart>
        <c:grouping val="standard"/>
        <c:varyColors val="0"/>
        <c:ser>
          <c:idx val="0"/>
          <c:order val="0"/>
          <c:tx>
            <c:strRef>
              <c:f>Trees!$B$4</c:f>
              <c:strCache>
                <c:ptCount val="1"/>
                <c:pt idx="0">
                  <c:v>High</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Trees!$C$3:$AG$3</c:f>
              <c:numCache/>
            </c:numRef>
          </c:cat>
          <c:val>
            <c:numRef>
              <c:f>Trees!$C$4:$AG$4</c:f>
              <c:numCache/>
            </c:numRef>
          </c:val>
          <c:smooth val="0"/>
        </c:ser>
        <c:ser>
          <c:idx val="1"/>
          <c:order val="1"/>
          <c:tx>
            <c:strRef>
              <c:f>Trees!$B$5</c:f>
              <c:strCache>
                <c:ptCount val="1"/>
                <c:pt idx="0">
                  <c:v>Med-High</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Trees!$C$3:$AG$3</c:f>
              <c:numCache/>
            </c:numRef>
          </c:cat>
          <c:val>
            <c:numRef>
              <c:f>Trees!$C$5:$AG$5</c:f>
              <c:numCache/>
            </c:numRef>
          </c:val>
          <c:smooth val="0"/>
        </c:ser>
        <c:ser>
          <c:idx val="2"/>
          <c:order val="2"/>
          <c:tx>
            <c:strRef>
              <c:f>Trees!$B$6</c:f>
              <c:strCache>
                <c:ptCount val="1"/>
                <c:pt idx="0">
                  <c:v>Med</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Trees!$C$3:$AG$3</c:f>
              <c:numCache/>
            </c:numRef>
          </c:cat>
          <c:val>
            <c:numRef>
              <c:f>Trees!$C$6:$AG$6</c:f>
              <c:numCache/>
            </c:numRef>
          </c:val>
          <c:smooth val="0"/>
        </c:ser>
        <c:ser>
          <c:idx val="3"/>
          <c:order val="3"/>
          <c:tx>
            <c:strRef>
              <c:f>Trees!$B$7</c:f>
              <c:strCache>
                <c:ptCount val="1"/>
                <c:pt idx="0">
                  <c:v>Med-Low</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Trees!$C$3:$AG$3</c:f>
              <c:numCache/>
            </c:numRef>
          </c:cat>
          <c:val>
            <c:numRef>
              <c:f>Trees!$C$7:$AG$7</c:f>
              <c:numCache/>
            </c:numRef>
          </c:val>
          <c:smooth val="0"/>
        </c:ser>
        <c:ser>
          <c:idx val="4"/>
          <c:order val="4"/>
          <c:tx>
            <c:strRef>
              <c:f>Trees!$B$8</c:f>
              <c:strCache>
                <c:ptCount val="1"/>
                <c:pt idx="0">
                  <c:v>Low</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numRef>
              <c:f>Trees!$C$3:$AG$3</c:f>
              <c:numCache/>
            </c:numRef>
          </c:cat>
          <c:val>
            <c:numRef>
              <c:f>Trees!$C$8:$AG$8</c:f>
              <c:numCache/>
            </c:numRef>
          </c:val>
          <c:smooth val="0"/>
        </c:ser>
        <c:marker val="1"/>
        <c:axId val="63438808"/>
        <c:axId val="23589561"/>
      </c:lineChart>
      <c:catAx>
        <c:axId val="63438808"/>
        <c:scaling>
          <c:orientation val="minMax"/>
        </c:scaling>
        <c:axPos val="b"/>
        <c:title>
          <c:tx>
            <c:rich>
              <a:bodyPr vert="horz" rot="0" anchor="ctr"/>
              <a:lstStyle/>
              <a:p>
                <a:pPr algn="ctr">
                  <a:defRPr/>
                </a:pPr>
                <a:r>
                  <a:rPr lang="en-US" cap="none" sz="1200" b="1" i="0" u="none" baseline="0">
                    <a:solidFill>
                      <a:srgbClr val="000000"/>
                    </a:solidFill>
                  </a:rPr>
                  <a:t>Years</a:t>
                </a:r>
              </a:p>
            </c:rich>
          </c:tx>
          <c:layout>
            <c:manualLayout>
              <c:xMode val="factor"/>
              <c:yMode val="factor"/>
              <c:x val="-0.0057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589561"/>
        <c:crosses val="autoZero"/>
        <c:auto val="1"/>
        <c:lblOffset val="100"/>
        <c:tickLblSkip val="1"/>
        <c:noMultiLvlLbl val="0"/>
      </c:catAx>
      <c:valAx>
        <c:axId val="23589561"/>
        <c:scaling>
          <c:orientation val="minMax"/>
        </c:scaling>
        <c:axPos val="l"/>
        <c:title>
          <c:tx>
            <c:rich>
              <a:bodyPr vert="horz" rot="-5400000" anchor="ctr"/>
              <a:lstStyle/>
              <a:p>
                <a:pPr algn="ctr">
                  <a:defRPr/>
                </a:pPr>
                <a:r>
                  <a:rPr lang="en-US" cap="none" sz="1200" b="1" i="0" u="none" baseline="0">
                    <a:solidFill>
                      <a:srgbClr val="000000"/>
                    </a:solidFill>
                  </a:rPr>
                  <a:t>t CO2-e/ha (Inc. trees &amp; debris)</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438808"/>
        <c:crossesAt val="1"/>
        <c:crossBetween val="between"/>
        <c:dispUnits/>
      </c:valAx>
      <c:spPr>
        <a:noFill/>
        <a:ln>
          <a:noFill/>
        </a:ln>
      </c:spPr>
    </c:plotArea>
    <c:legend>
      <c:legendPos val="r"/>
      <c:layout>
        <c:manualLayout>
          <c:xMode val="edge"/>
          <c:yMode val="edge"/>
          <c:x val="0.874"/>
          <c:y val="0.30825"/>
          <c:w val="0.119"/>
          <c:h val="0.369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6143625</xdr:colOff>
      <xdr:row>10</xdr:row>
      <xdr:rowOff>171450</xdr:rowOff>
    </xdr:from>
    <xdr:to>
      <xdr:col>2</xdr:col>
      <xdr:colOff>0</xdr:colOff>
      <xdr:row>13</xdr:row>
      <xdr:rowOff>180975</xdr:rowOff>
    </xdr:to>
    <xdr:sp>
      <xdr:nvSpPr>
        <xdr:cNvPr id="1" name="AutoShape 42"/>
        <xdr:cNvSpPr>
          <a:spLocks/>
        </xdr:cNvSpPr>
      </xdr:nvSpPr>
      <xdr:spPr>
        <a:xfrm flipH="1">
          <a:off x="6305550" y="5238750"/>
          <a:ext cx="3409950" cy="762000"/>
        </a:xfrm>
        <a:prstGeom prst="roundRect">
          <a:avLst/>
        </a:prstGeom>
        <a:solidFill>
          <a:srgbClr val="FFFF00"/>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Richard Eckard, Roger Hegarty and Geoff Thomas (2008) Beef Greenhouse Accounting Framework. Project no: UM10778 - </a:t>
          </a:r>
          <a:r>
            <a:rPr lang="en-US" cap="none" sz="1000" b="1" i="0" u="none" baseline="0">
              <a:solidFill>
                <a:srgbClr val="000000"/>
              </a:solidFill>
            </a:rPr>
            <a:t>Updated </a:t>
          </a:r>
          <a:r>
            <a:rPr lang="en-US" cap="none" sz="1000" b="0" i="0" u="none" baseline="0">
              <a:solidFill>
                <a:srgbClr val="000000"/>
              </a:solidFill>
            </a:rPr>
            <a:t>by Seyda Ozkan and Richard Eckard in</a:t>
          </a:r>
          <a:r>
            <a:rPr lang="en-US" cap="none" sz="1000" b="1" i="0" u="none" baseline="0">
              <a:solidFill>
                <a:srgbClr val="000000"/>
              </a:solidFill>
            </a:rPr>
            <a:t> May 2012</a:t>
          </a:r>
          <a:r>
            <a:rPr lang="en-US" cap="none" sz="1000" b="0" i="0" u="none" baseline="0">
              <a:solidFill>
                <a:srgbClr val="000000"/>
              </a:solidFill>
            </a:rPr>
            <a:t>. http://www.greenhouse.unimelb.edu.au/Tools.htm</a:t>
          </a:r>
        </a:p>
      </xdr:txBody>
    </xdr:sp>
    <xdr:clientData/>
  </xdr:twoCellAnchor>
  <xdr:twoCellAnchor editAs="oneCell">
    <xdr:from>
      <xdr:col>1</xdr:col>
      <xdr:colOff>9010650</xdr:colOff>
      <xdr:row>1</xdr:row>
      <xdr:rowOff>552450</xdr:rowOff>
    </xdr:from>
    <xdr:to>
      <xdr:col>1</xdr:col>
      <xdr:colOff>9553575</xdr:colOff>
      <xdr:row>1</xdr:row>
      <xdr:rowOff>552450</xdr:rowOff>
    </xdr:to>
    <xdr:pic>
      <xdr:nvPicPr>
        <xdr:cNvPr id="2" name="Picture 33" descr="MINCMYK"/>
        <xdr:cNvPicPr preferRelativeResize="1">
          <a:picLocks noChangeAspect="1"/>
        </xdr:cNvPicPr>
      </xdr:nvPicPr>
      <xdr:blipFill>
        <a:blip r:embed="rId1"/>
        <a:stretch>
          <a:fillRect/>
        </a:stretch>
      </xdr:blipFill>
      <xdr:spPr>
        <a:xfrm>
          <a:off x="9172575" y="942975"/>
          <a:ext cx="542925" cy="0"/>
        </a:xfrm>
        <a:prstGeom prst="rect">
          <a:avLst/>
        </a:prstGeom>
        <a:noFill/>
        <a:ln w="9525" cmpd="sng">
          <a:solidFill>
            <a:srgbClr val="000000"/>
          </a:solidFill>
          <a:headEnd type="none"/>
          <a:tailEnd type="none"/>
        </a:ln>
      </xdr:spPr>
    </xdr:pic>
    <xdr:clientData/>
  </xdr:twoCellAnchor>
  <xdr:twoCellAnchor editAs="oneCell">
    <xdr:from>
      <xdr:col>1</xdr:col>
      <xdr:colOff>8772525</xdr:colOff>
      <xdr:row>1</xdr:row>
      <xdr:rowOff>504825</xdr:rowOff>
    </xdr:from>
    <xdr:to>
      <xdr:col>1</xdr:col>
      <xdr:colOff>9553575</xdr:colOff>
      <xdr:row>1</xdr:row>
      <xdr:rowOff>1409700</xdr:rowOff>
    </xdr:to>
    <xdr:pic>
      <xdr:nvPicPr>
        <xdr:cNvPr id="3" name="Picture 33" descr="MINCMYK"/>
        <xdr:cNvPicPr preferRelativeResize="1">
          <a:picLocks noChangeAspect="1"/>
        </xdr:cNvPicPr>
      </xdr:nvPicPr>
      <xdr:blipFill>
        <a:blip r:embed="rId1"/>
        <a:stretch>
          <a:fillRect/>
        </a:stretch>
      </xdr:blipFill>
      <xdr:spPr>
        <a:xfrm>
          <a:off x="8934450" y="895350"/>
          <a:ext cx="781050" cy="904875"/>
        </a:xfrm>
        <a:prstGeom prst="rect">
          <a:avLst/>
        </a:prstGeom>
        <a:noFill/>
        <a:ln w="9525" cmpd="sng">
          <a:solidFill>
            <a:srgbClr val="000000"/>
          </a:solidFill>
          <a:headEnd type="none"/>
          <a:tailEnd type="none"/>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0.00725</cdr:y>
    </cdr:from>
    <cdr:to>
      <cdr:x>0.867</cdr:x>
      <cdr:y>0.295</cdr:y>
    </cdr:to>
    <cdr:sp>
      <cdr:nvSpPr>
        <cdr:cNvPr id="1" name="Text Box 1"/>
        <cdr:cNvSpPr txBox="1">
          <a:spLocks noChangeArrowheads="1"/>
        </cdr:cNvSpPr>
      </cdr:nvSpPr>
      <cdr:spPr>
        <a:xfrm>
          <a:off x="0" y="9525"/>
          <a:ext cx="1257300" cy="457200"/>
        </a:xfrm>
        <a:prstGeom prst="rect">
          <a:avLst/>
        </a:prstGeom>
        <a:noFill/>
        <a:ln w="9525" cmpd="sng">
          <a:noFill/>
        </a:ln>
      </cdr:spPr>
      <c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Greenhouse Gas Profile
</a:t>
          </a:r>
          <a:r>
            <a:rPr lang="en-US" cap="none" sz="800" b="1" i="0" u="none" baseline="0">
              <a:solidFill>
                <a:srgbClr val="000000"/>
              </a:solidFill>
              <a:latin typeface="Times New Roman"/>
              <a:ea typeface="Times New Roman"/>
              <a:cs typeface="Times New Roman"/>
            </a:rPr>
            <a:t>Summary</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12</xdr:row>
      <xdr:rowOff>19050</xdr:rowOff>
    </xdr:from>
    <xdr:to>
      <xdr:col>15</xdr:col>
      <xdr:colOff>238125</xdr:colOff>
      <xdr:row>28</xdr:row>
      <xdr:rowOff>0</xdr:rowOff>
    </xdr:to>
    <xdr:graphicFrame>
      <xdr:nvGraphicFramePr>
        <xdr:cNvPr id="1" name="Chart 13"/>
        <xdr:cNvGraphicFramePr/>
      </xdr:nvGraphicFramePr>
      <xdr:xfrm>
        <a:off x="8229600" y="2762250"/>
        <a:ext cx="3867150" cy="2743200"/>
      </xdr:xfrm>
      <a:graphic>
        <a:graphicData uri="http://schemas.openxmlformats.org/drawingml/2006/chart">
          <c:chart xmlns:c="http://schemas.openxmlformats.org/drawingml/2006/chart" r:id="rId1"/>
        </a:graphicData>
      </a:graphic>
    </xdr:graphicFrame>
    <xdr:clientData/>
  </xdr:twoCellAnchor>
  <xdr:twoCellAnchor>
    <xdr:from>
      <xdr:col>14</xdr:col>
      <xdr:colOff>247650</xdr:colOff>
      <xdr:row>6</xdr:row>
      <xdr:rowOff>152400</xdr:rowOff>
    </xdr:from>
    <xdr:to>
      <xdr:col>16</xdr:col>
      <xdr:colOff>190500</xdr:colOff>
      <xdr:row>14</xdr:row>
      <xdr:rowOff>123825</xdr:rowOff>
    </xdr:to>
    <xdr:graphicFrame>
      <xdr:nvGraphicFramePr>
        <xdr:cNvPr id="2" name="Chart 14"/>
        <xdr:cNvGraphicFramePr/>
      </xdr:nvGraphicFramePr>
      <xdr:xfrm>
        <a:off x="11420475" y="1685925"/>
        <a:ext cx="1447800" cy="1581150"/>
      </xdr:xfrm>
      <a:graphic>
        <a:graphicData uri="http://schemas.openxmlformats.org/drawingml/2006/chart">
          <c:chart xmlns:c="http://schemas.openxmlformats.org/drawingml/2006/chart" r:id="rId2"/>
        </a:graphicData>
      </a:graphic>
    </xdr:graphicFrame>
    <xdr:clientData/>
  </xdr:twoCellAnchor>
  <xdr:twoCellAnchor editAs="oneCell">
    <xdr:from>
      <xdr:col>4</xdr:col>
      <xdr:colOff>666750</xdr:colOff>
      <xdr:row>21</xdr:row>
      <xdr:rowOff>85725</xdr:rowOff>
    </xdr:from>
    <xdr:to>
      <xdr:col>5</xdr:col>
      <xdr:colOff>657225</xdr:colOff>
      <xdr:row>24</xdr:row>
      <xdr:rowOff>104775</xdr:rowOff>
    </xdr:to>
    <xdr:pic>
      <xdr:nvPicPr>
        <xdr:cNvPr id="3" name="Picture 33" descr="MINCMYK"/>
        <xdr:cNvPicPr preferRelativeResize="1">
          <a:picLocks noChangeAspect="1"/>
        </xdr:cNvPicPr>
      </xdr:nvPicPr>
      <xdr:blipFill>
        <a:blip r:embed="rId3"/>
        <a:stretch>
          <a:fillRect/>
        </a:stretch>
      </xdr:blipFill>
      <xdr:spPr>
        <a:xfrm>
          <a:off x="4219575" y="4695825"/>
          <a:ext cx="752475" cy="704850"/>
        </a:xfrm>
        <a:prstGeom prst="rect">
          <a:avLst/>
        </a:prstGeom>
        <a:noFill/>
        <a:ln w="9525" cmpd="sng">
          <a:solidFill>
            <a:srgbClr val="000000"/>
          </a:solidFill>
          <a:headEnd type="none"/>
          <a:tailEnd type="none"/>
        </a:ln>
      </xdr:spPr>
    </xdr:pic>
    <xdr:clientData/>
  </xdr:twoCellAnchor>
  <xdr:twoCellAnchor>
    <xdr:from>
      <xdr:col>1</xdr:col>
      <xdr:colOff>152400</xdr:colOff>
      <xdr:row>21</xdr:row>
      <xdr:rowOff>0</xdr:rowOff>
    </xdr:from>
    <xdr:to>
      <xdr:col>4</xdr:col>
      <xdr:colOff>581025</xdr:colOff>
      <xdr:row>24</xdr:row>
      <xdr:rowOff>66675</xdr:rowOff>
    </xdr:to>
    <xdr:sp>
      <xdr:nvSpPr>
        <xdr:cNvPr id="4" name="AutoShape 42"/>
        <xdr:cNvSpPr>
          <a:spLocks/>
        </xdr:cNvSpPr>
      </xdr:nvSpPr>
      <xdr:spPr>
        <a:xfrm flipH="1">
          <a:off x="257175" y="4610100"/>
          <a:ext cx="3876675" cy="752475"/>
        </a:xfrm>
        <a:prstGeom prst="roundRect">
          <a:avLst/>
        </a:prstGeom>
        <a:solidFill>
          <a:srgbClr val="FFFF00"/>
        </a:solidFill>
        <a:ln w="9525" cmpd="sng">
          <a:solidFill>
            <a:srgbClr val="000000"/>
          </a:solidFill>
          <a:headEnd type="none"/>
          <a:tailEnd type="none"/>
        </a:ln>
      </xdr:spPr>
      <xdr:txBody>
        <a:bodyPr vertOverflow="clip" wrap="square" lIns="27432" tIns="22860" rIns="0" bIns="0"/>
        <a:p>
          <a:pPr algn="ctr">
            <a:defRPr/>
          </a:pPr>
          <a:r>
            <a:rPr lang="en-US" cap="none" sz="1100" b="0" i="0" u="none" baseline="0">
              <a:solidFill>
                <a:srgbClr val="000000"/>
              </a:solidFill>
            </a:rPr>
            <a:t>Richard Eckard, Roger Hegarty and Geoff Thomas (2008) Beef Greenhouse Accounting Framework. Project no: UM10778 - 
</a:t>
          </a:r>
          <a:r>
            <a:rPr lang="en-US" cap="none" sz="1100" b="1" i="0" u="none" baseline="0">
              <a:solidFill>
                <a:srgbClr val="000000"/>
              </a:solidFill>
            </a:rPr>
            <a:t>Updated </a:t>
          </a:r>
          <a:r>
            <a:rPr lang="en-US" cap="none" sz="1100" b="0" i="0" u="none" baseline="0">
              <a:solidFill>
                <a:srgbClr val="000000"/>
              </a:solidFill>
            </a:rPr>
            <a:t>by Richard Eckard in</a:t>
          </a:r>
          <a:r>
            <a:rPr lang="en-US" cap="none" sz="1100" b="1" i="0" u="none" baseline="0">
              <a:solidFill>
                <a:srgbClr val="000000"/>
              </a:solidFill>
            </a:rPr>
            <a:t> June 2014</a:t>
          </a:r>
          <a:r>
            <a:rPr lang="en-US" cap="none" sz="1100" b="0" i="0" u="none" baseline="0">
              <a:solidFill>
                <a:srgbClr val="000000"/>
              </a:solidFill>
            </a:rPr>
            <a:t>. http://www.greenhouse.unimelb.edu.au/Tools.htm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438150</xdr:colOff>
      <xdr:row>12</xdr:row>
      <xdr:rowOff>9525</xdr:rowOff>
    </xdr:from>
    <xdr:to>
      <xdr:col>20</xdr:col>
      <xdr:colOff>361950</xdr:colOff>
      <xdr:row>28</xdr:row>
      <xdr:rowOff>152400</xdr:rowOff>
    </xdr:to>
    <xdr:pic>
      <xdr:nvPicPr>
        <xdr:cNvPr id="1" name="Picture 35"/>
        <xdr:cNvPicPr preferRelativeResize="1">
          <a:picLocks noChangeAspect="1"/>
        </xdr:cNvPicPr>
      </xdr:nvPicPr>
      <xdr:blipFill>
        <a:blip r:embed="rId1"/>
        <a:stretch>
          <a:fillRect/>
        </a:stretch>
      </xdr:blipFill>
      <xdr:spPr>
        <a:xfrm>
          <a:off x="11306175" y="2571750"/>
          <a:ext cx="4648200" cy="3343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18</xdr:col>
      <xdr:colOff>28575</xdr:colOff>
      <xdr:row>17</xdr:row>
      <xdr:rowOff>133350</xdr:rowOff>
    </xdr:to>
    <xdr:pic>
      <xdr:nvPicPr>
        <xdr:cNvPr id="1" name="Picture 1"/>
        <xdr:cNvPicPr preferRelativeResize="1">
          <a:picLocks noChangeAspect="1"/>
        </xdr:cNvPicPr>
      </xdr:nvPicPr>
      <xdr:blipFill>
        <a:blip r:embed="rId1"/>
        <a:stretch>
          <a:fillRect/>
        </a:stretch>
      </xdr:blipFill>
      <xdr:spPr>
        <a:xfrm>
          <a:off x="7172325" y="161925"/>
          <a:ext cx="5514975" cy="3781425"/>
        </a:xfrm>
        <a:prstGeom prst="rect">
          <a:avLst/>
        </a:prstGeom>
        <a:noFill/>
        <a:ln w="9525" cmpd="sng">
          <a:noFill/>
        </a:ln>
      </xdr:spPr>
    </xdr:pic>
    <xdr:clientData/>
  </xdr:twoCellAnchor>
  <xdr:twoCellAnchor editAs="oneCell">
    <xdr:from>
      <xdr:col>9</xdr:col>
      <xdr:colOff>0</xdr:colOff>
      <xdr:row>23</xdr:row>
      <xdr:rowOff>0</xdr:rowOff>
    </xdr:from>
    <xdr:to>
      <xdr:col>18</xdr:col>
      <xdr:colOff>171450</xdr:colOff>
      <xdr:row>36</xdr:row>
      <xdr:rowOff>171450</xdr:rowOff>
    </xdr:to>
    <xdr:pic>
      <xdr:nvPicPr>
        <xdr:cNvPr id="2" name="Picture 2"/>
        <xdr:cNvPicPr preferRelativeResize="1">
          <a:picLocks noChangeAspect="1"/>
        </xdr:cNvPicPr>
      </xdr:nvPicPr>
      <xdr:blipFill>
        <a:blip r:embed="rId2"/>
        <a:stretch>
          <a:fillRect/>
        </a:stretch>
      </xdr:blipFill>
      <xdr:spPr>
        <a:xfrm>
          <a:off x="7172325" y="4981575"/>
          <a:ext cx="5657850" cy="2838450"/>
        </a:xfrm>
        <a:prstGeom prst="rect">
          <a:avLst/>
        </a:prstGeom>
        <a:noFill/>
        <a:ln w="9525" cmpd="sng">
          <a:noFill/>
        </a:ln>
      </xdr:spPr>
    </xdr:pic>
    <xdr:clientData/>
  </xdr:twoCellAnchor>
  <xdr:twoCellAnchor editAs="oneCell">
    <xdr:from>
      <xdr:col>9</xdr:col>
      <xdr:colOff>0</xdr:colOff>
      <xdr:row>41</xdr:row>
      <xdr:rowOff>0</xdr:rowOff>
    </xdr:from>
    <xdr:to>
      <xdr:col>17</xdr:col>
      <xdr:colOff>581025</xdr:colOff>
      <xdr:row>45</xdr:row>
      <xdr:rowOff>85725</xdr:rowOff>
    </xdr:to>
    <xdr:pic>
      <xdr:nvPicPr>
        <xdr:cNvPr id="3" name="Picture 3"/>
        <xdr:cNvPicPr preferRelativeResize="1">
          <a:picLocks noChangeAspect="1"/>
        </xdr:cNvPicPr>
      </xdr:nvPicPr>
      <xdr:blipFill>
        <a:blip r:embed="rId3"/>
        <a:stretch>
          <a:fillRect/>
        </a:stretch>
      </xdr:blipFill>
      <xdr:spPr>
        <a:xfrm>
          <a:off x="7172325" y="8658225"/>
          <a:ext cx="545782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10</xdr:row>
      <xdr:rowOff>171450</xdr:rowOff>
    </xdr:from>
    <xdr:to>
      <xdr:col>21</xdr:col>
      <xdr:colOff>257175</xdr:colOff>
      <xdr:row>27</xdr:row>
      <xdr:rowOff>133350</xdr:rowOff>
    </xdr:to>
    <xdr:graphicFrame>
      <xdr:nvGraphicFramePr>
        <xdr:cNvPr id="1" name="Chart 4"/>
        <xdr:cNvGraphicFramePr/>
      </xdr:nvGraphicFramePr>
      <xdr:xfrm>
        <a:off x="8286750" y="2314575"/>
        <a:ext cx="8324850" cy="336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matechange.gov.au/en/publications/greenhouse-acctg/~/media/publications/greenhouse-acctg/NationalInventoryReport-2010-Vol-1.pdf"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7.png"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B116"/>
  <sheetViews>
    <sheetView showGridLines="0" zoomScale="80" zoomScaleNormal="80" zoomScalePageLayoutView="0" workbookViewId="0" topLeftCell="A1">
      <selection activeCell="A1" sqref="A1"/>
    </sheetView>
  </sheetViews>
  <sheetFormatPr defaultColWidth="0" defaultRowHeight="17.25" customHeight="1" zeroHeight="1"/>
  <cols>
    <col min="1" max="1" width="2.421875" style="6" customWidth="1"/>
    <col min="2" max="2" width="143.28125" style="6" customWidth="1"/>
    <col min="3" max="16384" width="0" style="6" hidden="1" customWidth="1"/>
  </cols>
  <sheetData>
    <row r="1" spans="1:2" ht="30.75" customHeight="1" thickBot="1">
      <c r="A1" s="5"/>
      <c r="B1" s="308" t="s">
        <v>438</v>
      </c>
    </row>
    <row r="2" spans="1:2" ht="111" thickBot="1">
      <c r="A2" s="5"/>
      <c r="B2" s="309" t="s">
        <v>405</v>
      </c>
    </row>
    <row r="3" spans="1:2" ht="30.75" customHeight="1" thickBot="1">
      <c r="A3" s="5"/>
      <c r="B3" s="7" t="s">
        <v>79</v>
      </c>
    </row>
    <row r="4" spans="1:2" ht="37.5">
      <c r="A4" s="5"/>
      <c r="B4" s="8" t="s">
        <v>417</v>
      </c>
    </row>
    <row r="5" spans="1:2" ht="75">
      <c r="A5" s="5"/>
      <c r="B5" s="9" t="s">
        <v>409</v>
      </c>
    </row>
    <row r="6" spans="1:2" ht="37.5">
      <c r="A6" s="5"/>
      <c r="B6" s="9" t="s">
        <v>129</v>
      </c>
    </row>
    <row r="7" spans="1:2" ht="18.75">
      <c r="A7" s="5"/>
      <c r="B7" s="10" t="s">
        <v>130</v>
      </c>
    </row>
    <row r="8" spans="1:2" ht="18.75">
      <c r="A8" s="5"/>
      <c r="B8" s="9" t="s">
        <v>408</v>
      </c>
    </row>
    <row r="9" spans="1:2" ht="18.75">
      <c r="A9" s="5"/>
      <c r="B9" s="9"/>
    </row>
    <row r="10" spans="1:2" ht="20.25">
      <c r="A10" s="5"/>
      <c r="B10" s="11" t="s">
        <v>84</v>
      </c>
    </row>
    <row r="11" spans="1:2" ht="20.25">
      <c r="A11" s="5"/>
      <c r="B11" s="11" t="s">
        <v>85</v>
      </c>
    </row>
    <row r="12" spans="1:2" ht="20.25">
      <c r="A12" s="5"/>
      <c r="B12" s="11" t="s">
        <v>63</v>
      </c>
    </row>
    <row r="13" spans="1:2" ht="18.75">
      <c r="A13" s="5"/>
      <c r="B13" s="11"/>
    </row>
    <row r="14" spans="1:2" ht="18.75">
      <c r="A14" s="5"/>
      <c r="B14" s="9"/>
    </row>
    <row r="15" spans="1:2" ht="33" customHeight="1" thickBot="1">
      <c r="A15" s="5"/>
      <c r="B15" s="12" t="s">
        <v>83</v>
      </c>
    </row>
    <row r="16" spans="1:2" ht="21" customHeight="1">
      <c r="A16" s="5"/>
      <c r="B16" s="13"/>
    </row>
    <row r="17" spans="1:2" ht="75">
      <c r="A17" s="5"/>
      <c r="B17" s="14" t="s">
        <v>139</v>
      </c>
    </row>
    <row r="18" spans="1:2" ht="168.75">
      <c r="A18" s="5"/>
      <c r="B18" s="14" t="s">
        <v>131</v>
      </c>
    </row>
    <row r="19" spans="1:2" ht="78" customHeight="1">
      <c r="A19" s="5"/>
      <c r="B19" s="14" t="s">
        <v>132</v>
      </c>
    </row>
    <row r="20" spans="1:2" ht="80.25" customHeight="1">
      <c r="A20" s="5"/>
      <c r="B20" s="14" t="s">
        <v>133</v>
      </c>
    </row>
    <row r="21" spans="1:2" ht="84" customHeight="1">
      <c r="A21" s="5"/>
      <c r="B21" s="14" t="s">
        <v>418</v>
      </c>
    </row>
    <row r="22" spans="1:2" s="17" customFormat="1" ht="21.75" customHeight="1">
      <c r="A22" s="15"/>
      <c r="B22" s="16"/>
    </row>
    <row r="23" spans="1:2" ht="39" customHeight="1" thickBot="1">
      <c r="A23" s="5"/>
      <c r="B23" s="13" t="s">
        <v>81</v>
      </c>
    </row>
    <row r="24" spans="1:2" ht="20.25">
      <c r="A24" s="5"/>
      <c r="B24" s="18" t="s">
        <v>410</v>
      </c>
    </row>
    <row r="25" spans="1:2" ht="24.75" customHeight="1">
      <c r="A25" s="5"/>
      <c r="B25" s="19" t="s">
        <v>134</v>
      </c>
    </row>
    <row r="26" spans="1:2" ht="21" customHeight="1">
      <c r="A26" s="5"/>
      <c r="B26" s="19" t="s">
        <v>135</v>
      </c>
    </row>
    <row r="27" spans="1:2" ht="18.75">
      <c r="A27" s="5"/>
      <c r="B27" s="19"/>
    </row>
    <row r="28" spans="1:2" ht="129" customHeight="1">
      <c r="A28" s="5"/>
      <c r="B28" s="19" t="s">
        <v>419</v>
      </c>
    </row>
    <row r="29" spans="1:2" ht="117.75" customHeight="1">
      <c r="A29" s="5"/>
      <c r="B29" s="19" t="s">
        <v>136</v>
      </c>
    </row>
    <row r="30" spans="1:2" ht="9.75" customHeight="1">
      <c r="A30" s="5"/>
      <c r="B30" s="19"/>
    </row>
    <row r="31" spans="1:2" ht="24.75" customHeight="1">
      <c r="A31" s="5"/>
      <c r="B31" s="21"/>
    </row>
    <row r="32" spans="1:2" ht="39" customHeight="1" thickBot="1">
      <c r="A32" s="5"/>
      <c r="B32" s="12" t="s">
        <v>82</v>
      </c>
    </row>
    <row r="33" spans="1:2" ht="20.25">
      <c r="A33" s="5"/>
      <c r="B33" s="18" t="s">
        <v>140</v>
      </c>
    </row>
    <row r="34" spans="1:2" ht="18.75">
      <c r="A34" s="5"/>
      <c r="B34" s="20"/>
    </row>
    <row r="35" spans="1:2" s="17" customFormat="1" ht="18.75">
      <c r="A35" s="15"/>
      <c r="B35" s="22"/>
    </row>
    <row r="36" spans="1:2" ht="36" customHeight="1" thickBot="1">
      <c r="A36" s="5"/>
      <c r="B36" s="12" t="s">
        <v>137</v>
      </c>
    </row>
    <row r="37" spans="1:2" ht="78" customHeight="1">
      <c r="A37" s="5"/>
      <c r="B37" s="20" t="s">
        <v>138</v>
      </c>
    </row>
    <row r="38" spans="1:2" ht="18.75">
      <c r="A38" s="5"/>
      <c r="B38" s="23"/>
    </row>
    <row r="39" spans="1:2" ht="18.75" hidden="1">
      <c r="A39" s="5"/>
      <c r="B39" s="23"/>
    </row>
    <row r="40" spans="1:2" ht="18.75" hidden="1">
      <c r="A40" s="5"/>
      <c r="B40" s="23"/>
    </row>
    <row r="41" spans="1:2" ht="18.75" hidden="1">
      <c r="A41" s="5"/>
      <c r="B41" s="23"/>
    </row>
    <row r="42" spans="1:2" ht="18.75" hidden="1">
      <c r="A42" s="5"/>
      <c r="B42" s="23"/>
    </row>
    <row r="43" spans="1:2" ht="18.75" hidden="1">
      <c r="A43" s="5"/>
      <c r="B43" s="23"/>
    </row>
    <row r="44" spans="1:2" ht="18.75" hidden="1">
      <c r="A44" s="5"/>
      <c r="B44" s="23"/>
    </row>
    <row r="45" spans="1:2" ht="18.75" hidden="1">
      <c r="A45" s="5"/>
      <c r="B45" s="23"/>
    </row>
    <row r="46" spans="1:2" ht="18.75" hidden="1">
      <c r="A46" s="5"/>
      <c r="B46" s="23"/>
    </row>
    <row r="47" spans="1:2" ht="18.75" hidden="1">
      <c r="A47" s="5"/>
      <c r="B47" s="23"/>
    </row>
    <row r="48" spans="1:2" ht="18.75" hidden="1">
      <c r="A48" s="5"/>
      <c r="B48" s="23"/>
    </row>
    <row r="49" spans="1:2" ht="18.75" hidden="1">
      <c r="A49" s="5"/>
      <c r="B49" s="23"/>
    </row>
    <row r="50" spans="1:2" ht="18.75" hidden="1">
      <c r="A50" s="5"/>
      <c r="B50" s="23"/>
    </row>
    <row r="51" spans="1:2" ht="18.75" hidden="1">
      <c r="A51" s="5"/>
      <c r="B51" s="23"/>
    </row>
    <row r="52" spans="1:2" ht="18.75" hidden="1">
      <c r="A52" s="5"/>
      <c r="B52" s="23"/>
    </row>
    <row r="53" spans="1:2" ht="18.75" hidden="1">
      <c r="A53" s="5"/>
      <c r="B53" s="23"/>
    </row>
    <row r="54" spans="1:2" ht="18.75" hidden="1">
      <c r="A54" s="5"/>
      <c r="B54" s="23"/>
    </row>
    <row r="55" spans="1:2" ht="18.75" hidden="1">
      <c r="A55" s="5"/>
      <c r="B55" s="23"/>
    </row>
    <row r="56" spans="1:2" ht="18.75" hidden="1">
      <c r="A56" s="5"/>
      <c r="B56" s="23"/>
    </row>
    <row r="57" spans="1:2" ht="18.75" hidden="1">
      <c r="A57" s="5"/>
      <c r="B57" s="23"/>
    </row>
    <row r="58" spans="1:2" ht="18.75" hidden="1">
      <c r="A58" s="5"/>
      <c r="B58" s="23"/>
    </row>
    <row r="59" spans="1:2" ht="18.75" hidden="1">
      <c r="A59" s="5"/>
      <c r="B59" s="23"/>
    </row>
    <row r="60" spans="1:2" ht="18.75" hidden="1">
      <c r="A60" s="5"/>
      <c r="B60" s="23"/>
    </row>
    <row r="61" spans="1:2" ht="18.75" hidden="1">
      <c r="A61" s="5"/>
      <c r="B61" s="23"/>
    </row>
    <row r="62" spans="1:2" ht="18.75" hidden="1">
      <c r="A62" s="5"/>
      <c r="B62" s="23"/>
    </row>
    <row r="63" spans="1:2" ht="18.75" hidden="1">
      <c r="A63" s="5"/>
      <c r="B63" s="23"/>
    </row>
    <row r="64" spans="1:2" ht="18.75" hidden="1">
      <c r="A64" s="5"/>
      <c r="B64" s="23"/>
    </row>
    <row r="65" spans="1:2" ht="18.75" hidden="1">
      <c r="A65" s="5"/>
      <c r="B65" s="23"/>
    </row>
    <row r="66" spans="1:2" ht="18.75" hidden="1">
      <c r="A66" s="5"/>
      <c r="B66" s="23"/>
    </row>
    <row r="67" spans="1:2" ht="18.75" hidden="1">
      <c r="A67" s="5"/>
      <c r="B67" s="23"/>
    </row>
    <row r="68" spans="1:2" ht="18.75" hidden="1">
      <c r="A68" s="5"/>
      <c r="B68" s="23"/>
    </row>
    <row r="69" spans="1:2" ht="18.75" hidden="1">
      <c r="A69" s="5"/>
      <c r="B69" s="23"/>
    </row>
    <row r="70" spans="1:2" ht="18.75" hidden="1">
      <c r="A70" s="5"/>
      <c r="B70" s="23"/>
    </row>
    <row r="71" spans="1:2" ht="18.75" hidden="1">
      <c r="A71" s="5"/>
      <c r="B71" s="23"/>
    </row>
    <row r="72" spans="1:2" ht="18.75" hidden="1">
      <c r="A72" s="5"/>
      <c r="B72" s="23"/>
    </row>
    <row r="73" spans="1:2" ht="18.75" hidden="1">
      <c r="A73" s="5"/>
      <c r="B73" s="23"/>
    </row>
    <row r="74" spans="1:2" ht="18.75" hidden="1">
      <c r="A74" s="5"/>
      <c r="B74" s="23"/>
    </row>
    <row r="75" spans="1:2" ht="18.75" hidden="1">
      <c r="A75" s="5"/>
      <c r="B75" s="23"/>
    </row>
    <row r="76" spans="1:2" ht="18.75" hidden="1">
      <c r="A76" s="5"/>
      <c r="B76" s="23"/>
    </row>
    <row r="77" spans="1:2" ht="18.75" hidden="1">
      <c r="A77" s="5"/>
      <c r="B77" s="23"/>
    </row>
    <row r="78" spans="1:2" ht="18.75" hidden="1">
      <c r="A78" s="5"/>
      <c r="B78" s="23"/>
    </row>
    <row r="79" spans="1:2" ht="18.75" hidden="1">
      <c r="A79" s="5"/>
      <c r="B79" s="23"/>
    </row>
    <row r="80" spans="1:2" ht="18.75" hidden="1">
      <c r="A80" s="5"/>
      <c r="B80" s="23"/>
    </row>
    <row r="81" spans="1:2" ht="18.75" hidden="1">
      <c r="A81" s="5"/>
      <c r="B81" s="23"/>
    </row>
    <row r="82" spans="1:2" ht="18.75" hidden="1">
      <c r="A82" s="5"/>
      <c r="B82" s="23"/>
    </row>
    <row r="83" spans="1:2" ht="18.75" hidden="1">
      <c r="A83" s="5"/>
      <c r="B83" s="23"/>
    </row>
    <row r="84" spans="1:2" ht="18.75" hidden="1">
      <c r="A84" s="5"/>
      <c r="B84" s="23"/>
    </row>
    <row r="85" spans="1:2" ht="18.75" hidden="1">
      <c r="A85" s="5"/>
      <c r="B85" s="23"/>
    </row>
    <row r="86" spans="1:2" ht="18.75" hidden="1">
      <c r="A86" s="5"/>
      <c r="B86" s="23"/>
    </row>
    <row r="87" spans="1:2" ht="18.75" hidden="1">
      <c r="A87" s="5"/>
      <c r="B87" s="23"/>
    </row>
    <row r="88" spans="1:2" ht="18.75" hidden="1">
      <c r="A88" s="5"/>
      <c r="B88" s="23"/>
    </row>
    <row r="89" spans="1:2" ht="18.75" hidden="1">
      <c r="A89" s="5"/>
      <c r="B89" s="23"/>
    </row>
    <row r="90" spans="1:2" ht="18.75" hidden="1">
      <c r="A90" s="5"/>
      <c r="B90" s="23"/>
    </row>
    <row r="91" spans="1:2" ht="18.75" hidden="1">
      <c r="A91" s="5"/>
      <c r="B91" s="23"/>
    </row>
    <row r="92" spans="1:2" ht="18.75" hidden="1">
      <c r="A92" s="5"/>
      <c r="B92" s="23"/>
    </row>
    <row r="93" spans="1:2" ht="18.75" hidden="1">
      <c r="A93" s="5"/>
      <c r="B93" s="23"/>
    </row>
    <row r="94" spans="1:2" ht="18.75" hidden="1">
      <c r="A94" s="5"/>
      <c r="B94" s="23"/>
    </row>
    <row r="95" spans="1:2" ht="18.75" hidden="1">
      <c r="A95" s="5"/>
      <c r="B95" s="23"/>
    </row>
    <row r="96" spans="1:2" ht="18.75" hidden="1">
      <c r="A96" s="5"/>
      <c r="B96" s="23"/>
    </row>
    <row r="97" spans="1:2" ht="18.75" hidden="1">
      <c r="A97" s="5"/>
      <c r="B97" s="23"/>
    </row>
    <row r="98" spans="1:2" ht="18.75" hidden="1">
      <c r="A98" s="5"/>
      <c r="B98" s="23"/>
    </row>
    <row r="99" spans="1:2" ht="18.75" hidden="1">
      <c r="A99" s="5"/>
      <c r="B99" s="23"/>
    </row>
    <row r="100" spans="1:2" ht="18.75" hidden="1">
      <c r="A100" s="5"/>
      <c r="B100" s="23"/>
    </row>
    <row r="101" spans="1:2" ht="18.75" hidden="1">
      <c r="A101" s="5"/>
      <c r="B101" s="23"/>
    </row>
    <row r="102" spans="1:2" ht="19.5" hidden="1" thickBot="1">
      <c r="A102" s="5"/>
      <c r="B102" s="24"/>
    </row>
    <row r="103" spans="1:2" ht="18.75" hidden="1">
      <c r="A103" s="5"/>
      <c r="B103" s="25"/>
    </row>
    <row r="104" spans="1:2" ht="27.75" customHeight="1" hidden="1">
      <c r="A104" s="5"/>
      <c r="B104" s="26"/>
    </row>
    <row r="105" spans="1:2" ht="21" customHeight="1" hidden="1">
      <c r="A105" s="5"/>
      <c r="B105" s="26"/>
    </row>
    <row r="106" spans="1:2" ht="29.25" customHeight="1" hidden="1">
      <c r="A106" s="5"/>
      <c r="B106" s="26"/>
    </row>
    <row r="107" spans="1:2" ht="17.25" customHeight="1" hidden="1">
      <c r="A107" s="5"/>
      <c r="B107" s="26"/>
    </row>
    <row r="108" spans="1:2" ht="27.75" customHeight="1" hidden="1">
      <c r="A108" s="5"/>
      <c r="B108" s="26"/>
    </row>
    <row r="109" spans="1:2" ht="12" customHeight="1" hidden="1">
      <c r="A109" s="5"/>
      <c r="B109" s="26"/>
    </row>
    <row r="110" spans="1:2" ht="18" customHeight="1" hidden="1">
      <c r="A110" s="5"/>
      <c r="B110" s="26"/>
    </row>
    <row r="111" spans="1:2" ht="18.75" hidden="1">
      <c r="A111" s="5"/>
      <c r="B111" s="26"/>
    </row>
    <row r="112" spans="1:2" ht="14.25" customHeight="1" hidden="1">
      <c r="A112" s="5"/>
      <c r="B112" s="26"/>
    </row>
    <row r="113" spans="1:2" ht="12" customHeight="1" hidden="1">
      <c r="A113" s="5"/>
      <c r="B113" s="26"/>
    </row>
    <row r="114" spans="1:2" ht="18.75" hidden="1">
      <c r="A114" s="5"/>
      <c r="B114" s="26"/>
    </row>
    <row r="115" spans="1:2" ht="18.75" hidden="1">
      <c r="A115" s="5"/>
      <c r="B115" s="26"/>
    </row>
    <row r="116" spans="1:2" ht="19.5" hidden="1" thickBot="1">
      <c r="A116" s="5"/>
      <c r="B116" s="27"/>
    </row>
    <row r="117" ht="18" hidden="1"/>
    <row r="118" ht="18" hidden="1"/>
    <row r="119" ht="18" hidden="1"/>
    <row r="120" ht="18" hidden="1"/>
    <row r="121" ht="18" hidden="1"/>
    <row r="122" ht="18" hidden="1"/>
    <row r="123" ht="18" hidden="1"/>
    <row r="124" ht="18" hidden="1"/>
    <row r="125" ht="18" hidden="1"/>
    <row r="126" ht="18" hidden="1"/>
    <row r="127" ht="18" hidden="1"/>
    <row r="128" ht="18" hidden="1"/>
    <row r="129" ht="18" hidden="1"/>
    <row r="130" ht="18" hidden="1"/>
    <row r="131" ht="18" hidden="1"/>
    <row r="132" ht="18" hidden="1"/>
    <row r="133" ht="18" hidden="1"/>
    <row r="134" ht="18" hidden="1"/>
    <row r="135" ht="18" hidden="1"/>
    <row r="136" ht="18" hidden="1"/>
    <row r="137" ht="18" hidden="1"/>
    <row r="138" ht="18" hidden="1"/>
    <row r="139" ht="18" hidden="1"/>
    <row r="140" ht="18" hidden="1"/>
    <row r="141" ht="18" hidden="1"/>
    <row r="142" ht="18" hidden="1"/>
    <row r="143" ht="18" hidden="1"/>
    <row r="144" ht="18" hidden="1"/>
    <row r="145" ht="18" hidden="1"/>
    <row r="146" ht="18" hidden="1"/>
    <row r="147" ht="18" hidden="1"/>
    <row r="148" ht="18" hidden="1"/>
    <row r="149" ht="18" hidden="1"/>
    <row r="150" ht="17.25" customHeight="1" hidden="1"/>
    <row r="151" ht="17.25" customHeight="1"/>
  </sheetData>
  <sheetProtection sheet="1" objects="1" scenarios="1"/>
  <hyperlinks>
    <hyperlink ref="B10" location="Intro!B20" tooltip="Click this link to read more about Methane" display="     - Methane (CH4)"/>
    <hyperlink ref="B11" location="Intro!B40" tooltip="Click this link to read more about Nitrous Oxide" display="     - Nitrous oxide (N2O)"/>
    <hyperlink ref="B12" location="Intro!B49" tooltip="Click this link to read more about Carbon Dioxide" display="     - Carbon dioxide (CO2)"/>
    <hyperlink ref="B7" r:id="rId1" display="http://www.climatechange.gov.au/en/publications/greenhouse-acctg/~/media/publications/greenhouse-acctg/NationalInventoryReport-2010-Vol-1.pdf"/>
  </hyperlinks>
  <printOptions/>
  <pageMargins left="0.7" right="0.7" top="0.75" bottom="0.75" header="0.3" footer="0.3"/>
  <pageSetup orientation="portrait" paperSize="9"/>
  <drawing r:id="rId2"/>
</worksheet>
</file>

<file path=xl/worksheets/sheet10.xml><?xml version="1.0" encoding="utf-8"?>
<worksheet xmlns="http://schemas.openxmlformats.org/spreadsheetml/2006/main" xmlns:r="http://schemas.openxmlformats.org/officeDocument/2006/relationships">
  <dimension ref="A1:T72"/>
  <sheetViews>
    <sheetView showGridLines="0" zoomScale="80" zoomScaleNormal="80" zoomScalePageLayoutView="0" workbookViewId="0" topLeftCell="A1">
      <selection activeCell="B3" sqref="B3:H10"/>
    </sheetView>
  </sheetViews>
  <sheetFormatPr defaultColWidth="8.8515625" defaultRowHeight="12.75"/>
  <cols>
    <col min="1" max="1" width="2.57421875" style="1" customWidth="1"/>
    <col min="2" max="2" width="40.8515625" style="1" customWidth="1"/>
    <col min="3" max="3" width="17.421875" style="1" bestFit="1" customWidth="1"/>
    <col min="4" max="4" width="7.8515625" style="1" bestFit="1" customWidth="1"/>
    <col min="5" max="5" width="11.00390625" style="1" customWidth="1"/>
    <col min="6" max="6" width="9.7109375" style="1" customWidth="1"/>
    <col min="7" max="8" width="9.7109375" style="1" bestFit="1" customWidth="1"/>
    <col min="9" max="10" width="12.00390625" style="1" customWidth="1"/>
    <col min="11" max="11" width="8.8515625" style="1" customWidth="1"/>
    <col min="12" max="12" width="10.7109375" style="1" customWidth="1"/>
    <col min="13" max="16384" width="8.8515625" style="1" customWidth="1"/>
  </cols>
  <sheetData>
    <row r="1" ht="27" customHeight="1">
      <c r="B1" s="48" t="s">
        <v>19</v>
      </c>
    </row>
    <row r="2" spans="1:20" ht="15.75">
      <c r="A2" s="2"/>
      <c r="J2" s="37"/>
      <c r="K2" s="37"/>
      <c r="L2" s="37"/>
      <c r="M2" s="37"/>
      <c r="N2" s="37"/>
      <c r="O2" s="37"/>
      <c r="P2" s="37"/>
      <c r="Q2" s="37"/>
      <c r="R2" s="37"/>
      <c r="S2" s="37"/>
      <c r="T2" s="37"/>
    </row>
    <row r="3" spans="2:20" ht="15.75">
      <c r="B3" s="236" t="s">
        <v>111</v>
      </c>
      <c r="C3" s="237"/>
      <c r="D3" s="237"/>
      <c r="E3" s="237"/>
      <c r="F3" s="236" t="s">
        <v>110</v>
      </c>
      <c r="G3" s="237"/>
      <c r="H3" s="237"/>
      <c r="J3" s="37"/>
      <c r="K3" s="37"/>
      <c r="L3" s="37"/>
      <c r="M3" s="37"/>
      <c r="N3" s="37"/>
      <c r="O3" s="37"/>
      <c r="P3" s="37"/>
      <c r="Q3" s="37"/>
      <c r="R3" s="37"/>
      <c r="S3" s="37"/>
      <c r="T3" s="37"/>
    </row>
    <row r="4" spans="2:20" ht="15.75">
      <c r="B4" s="238" t="s">
        <v>370</v>
      </c>
      <c r="C4" s="238">
        <f>'Data summary'!$C$15</f>
        <v>30000</v>
      </c>
      <c r="D4" s="238"/>
      <c r="E4" s="238"/>
      <c r="F4" s="238" t="s">
        <v>375</v>
      </c>
      <c r="G4" s="238"/>
      <c r="H4" s="238"/>
      <c r="J4" s="37"/>
      <c r="K4" s="129"/>
      <c r="L4" s="37"/>
      <c r="M4" s="37"/>
      <c r="N4" s="37"/>
      <c r="O4" s="37"/>
      <c r="P4" s="37"/>
      <c r="Q4" s="37"/>
      <c r="R4" s="37"/>
      <c r="S4" s="37"/>
      <c r="T4" s="37"/>
    </row>
    <row r="5" spans="2:20" ht="15.75">
      <c r="B5" s="238" t="s">
        <v>371</v>
      </c>
      <c r="C5" s="238">
        <v>38.6</v>
      </c>
      <c r="D5" s="238"/>
      <c r="E5" s="238"/>
      <c r="F5" s="238" t="s">
        <v>376</v>
      </c>
      <c r="G5" s="238"/>
      <c r="H5" s="238"/>
      <c r="J5" s="37"/>
      <c r="K5" s="129"/>
      <c r="L5" s="37"/>
      <c r="M5" s="37"/>
      <c r="N5" s="37"/>
      <c r="O5" s="37"/>
      <c r="P5" s="37"/>
      <c r="Q5" s="37"/>
      <c r="R5" s="37"/>
      <c r="S5" s="37"/>
      <c r="T5" s="37"/>
    </row>
    <row r="6" spans="2:20" ht="15.75">
      <c r="B6" s="238" t="s">
        <v>372</v>
      </c>
      <c r="C6" s="238">
        <v>99</v>
      </c>
      <c r="D6" s="238"/>
      <c r="E6" s="238"/>
      <c r="F6" s="238" t="s">
        <v>88</v>
      </c>
      <c r="G6" s="238"/>
      <c r="H6" s="238"/>
      <c r="J6" s="37"/>
      <c r="K6" s="39"/>
      <c r="L6" s="37"/>
      <c r="M6" s="37"/>
      <c r="N6" s="37"/>
      <c r="O6" s="37"/>
      <c r="P6" s="37"/>
      <c r="Q6" s="37"/>
      <c r="R6" s="37"/>
      <c r="S6" s="37"/>
      <c r="T6" s="37"/>
    </row>
    <row r="7" spans="2:20" ht="15.75">
      <c r="B7" s="238" t="s">
        <v>373</v>
      </c>
      <c r="C7" s="238">
        <v>69.9</v>
      </c>
      <c r="D7" s="238"/>
      <c r="E7" s="238"/>
      <c r="F7" s="238" t="s">
        <v>377</v>
      </c>
      <c r="G7" s="238"/>
      <c r="H7" s="238"/>
      <c r="J7" s="37"/>
      <c r="K7" s="37"/>
      <c r="L7" s="37"/>
      <c r="M7" s="37"/>
      <c r="N7" s="37"/>
      <c r="O7" s="37"/>
      <c r="P7" s="37"/>
      <c r="Q7" s="37"/>
      <c r="R7" s="37"/>
      <c r="S7" s="37"/>
      <c r="T7" s="37"/>
    </row>
    <row r="8" spans="2:20" ht="18" customHeight="1">
      <c r="B8" s="238" t="s">
        <v>374</v>
      </c>
      <c r="C8" s="238">
        <f>'Data summary'!$C$16</f>
        <v>12000</v>
      </c>
      <c r="D8" s="238"/>
      <c r="E8" s="238"/>
      <c r="F8" s="238" t="s">
        <v>378</v>
      </c>
      <c r="G8" s="238"/>
      <c r="H8" s="238"/>
      <c r="J8" s="37"/>
      <c r="K8" s="37"/>
      <c r="L8" s="37"/>
      <c r="M8" s="112"/>
      <c r="N8" s="112"/>
      <c r="O8" s="112"/>
      <c r="P8" s="112"/>
      <c r="Q8" s="112"/>
      <c r="R8" s="112"/>
      <c r="S8" s="37"/>
      <c r="T8" s="37"/>
    </row>
    <row r="9" spans="2:20" ht="15.75">
      <c r="B9" s="238" t="s">
        <v>425</v>
      </c>
      <c r="C9" s="238">
        <f>VLOOKUP('Data summary'!$C$17,A38:E45,5,FALSE)</f>
        <v>0.0014</v>
      </c>
      <c r="D9" s="238"/>
      <c r="E9" s="238"/>
      <c r="F9" s="239" t="s">
        <v>379</v>
      </c>
      <c r="G9" s="238"/>
      <c r="H9" s="238"/>
      <c r="J9" s="37"/>
      <c r="K9" s="42"/>
      <c r="L9" s="37"/>
      <c r="M9" s="112"/>
      <c r="N9" s="112"/>
      <c r="O9" s="112"/>
      <c r="P9" s="112"/>
      <c r="Q9" s="112"/>
      <c r="S9" s="37"/>
      <c r="T9" s="37"/>
    </row>
    <row r="10" spans="2:20" ht="15.75">
      <c r="B10" s="238"/>
      <c r="C10" s="238"/>
      <c r="D10" s="238"/>
      <c r="E10" s="238"/>
      <c r="F10" s="238"/>
      <c r="G10" s="238"/>
      <c r="H10" s="238"/>
      <c r="J10" s="37"/>
      <c r="K10" s="37"/>
      <c r="L10" s="37"/>
      <c r="M10" s="37"/>
      <c r="N10" s="37"/>
      <c r="O10" s="37"/>
      <c r="P10" s="37"/>
      <c r="Q10" s="37"/>
      <c r="R10" s="37"/>
      <c r="S10" s="37"/>
      <c r="T10" s="37"/>
    </row>
    <row r="11" spans="2:20" ht="15.75">
      <c r="B11" s="240" t="s">
        <v>380</v>
      </c>
      <c r="C11" s="240" t="s">
        <v>381</v>
      </c>
      <c r="D11" s="238"/>
      <c r="E11" s="238"/>
      <c r="F11" s="238"/>
      <c r="G11" s="238"/>
      <c r="H11" s="238"/>
      <c r="J11" s="37"/>
      <c r="K11" s="251"/>
      <c r="L11" s="37"/>
      <c r="M11" s="37"/>
      <c r="N11" s="37"/>
      <c r="O11" s="37"/>
      <c r="P11" s="37"/>
      <c r="Q11" s="37"/>
      <c r="R11" s="37"/>
      <c r="S11" s="37"/>
      <c r="T11" s="37"/>
    </row>
    <row r="12" spans="2:20" ht="15.75">
      <c r="B12" s="240"/>
      <c r="C12" s="238" t="s">
        <v>420</v>
      </c>
      <c r="D12" s="238"/>
      <c r="E12" s="238"/>
      <c r="F12" s="238"/>
      <c r="G12" s="238"/>
      <c r="H12" s="238"/>
      <c r="J12" s="37"/>
      <c r="K12" s="251"/>
      <c r="L12" s="37"/>
      <c r="M12" s="37"/>
      <c r="N12" s="37"/>
      <c r="O12" s="37"/>
      <c r="P12" s="37"/>
      <c r="Q12" s="37"/>
      <c r="R12" s="37"/>
      <c r="S12" s="37"/>
      <c r="T12" s="37"/>
    </row>
    <row r="13" spans="2:20" ht="15.75">
      <c r="B13" s="240"/>
      <c r="C13" s="238" t="s">
        <v>421</v>
      </c>
      <c r="D13" s="238"/>
      <c r="E13" s="238"/>
      <c r="F13" s="238"/>
      <c r="G13" s="238"/>
      <c r="H13" s="238"/>
      <c r="J13" s="37"/>
      <c r="K13" s="251"/>
      <c r="L13" s="37"/>
      <c r="M13" s="37"/>
      <c r="N13" s="37"/>
      <c r="O13" s="37"/>
      <c r="P13" s="37"/>
      <c r="Q13" s="37"/>
      <c r="R13" s="37"/>
      <c r="S13" s="37"/>
      <c r="T13" s="37"/>
    </row>
    <row r="14" spans="2:20" ht="15.75">
      <c r="B14" s="240"/>
      <c r="C14" s="238" t="s">
        <v>422</v>
      </c>
      <c r="D14" s="238"/>
      <c r="E14" s="238"/>
      <c r="F14" s="238"/>
      <c r="G14" s="238"/>
      <c r="H14" s="238"/>
      <c r="J14" s="37"/>
      <c r="K14" s="251"/>
      <c r="L14" s="37"/>
      <c r="M14" s="37"/>
      <c r="N14" s="37"/>
      <c r="O14" s="37"/>
      <c r="P14" s="37"/>
      <c r="Q14" s="37"/>
      <c r="R14" s="37"/>
      <c r="S14" s="37"/>
      <c r="T14" s="37"/>
    </row>
    <row r="15" spans="2:20" ht="15.75">
      <c r="B15" s="240"/>
      <c r="C15" s="238" t="s">
        <v>423</v>
      </c>
      <c r="D15" s="238"/>
      <c r="E15" s="238"/>
      <c r="F15" s="238"/>
      <c r="G15" s="238"/>
      <c r="H15" s="238"/>
      <c r="J15" s="37"/>
      <c r="K15" s="251"/>
      <c r="L15" s="37"/>
      <c r="M15" s="37"/>
      <c r="N15" s="37"/>
      <c r="O15" s="37"/>
      <c r="P15" s="37"/>
      <c r="Q15" s="37"/>
      <c r="R15" s="37"/>
      <c r="S15" s="37"/>
      <c r="T15" s="37"/>
    </row>
    <row r="16" spans="2:20" ht="15.75">
      <c r="B16" s="240"/>
      <c r="C16" s="240"/>
      <c r="D16" s="238"/>
      <c r="E16" s="238"/>
      <c r="F16" s="238"/>
      <c r="G16" s="238"/>
      <c r="H16" s="238"/>
      <c r="J16" s="37"/>
      <c r="K16" s="251"/>
      <c r="L16" s="37"/>
      <c r="M16" s="37"/>
      <c r="N16" s="37"/>
      <c r="O16" s="37"/>
      <c r="P16" s="37"/>
      <c r="Q16" s="37"/>
      <c r="R16" s="37"/>
      <c r="S16" s="37"/>
      <c r="T16" s="37"/>
    </row>
    <row r="17" spans="2:20" ht="15.75">
      <c r="B17" s="238"/>
      <c r="C17" s="241">
        <f>$C$4*$C$5*$C$6%*$C$7*10^-6</f>
        <v>80.13475799999999</v>
      </c>
      <c r="D17" s="238"/>
      <c r="E17" s="238"/>
      <c r="F17" s="238" t="s">
        <v>382</v>
      </c>
      <c r="G17" s="238"/>
      <c r="H17" s="238"/>
      <c r="J17" s="37"/>
      <c r="K17" s="37"/>
      <c r="L17" s="252"/>
      <c r="M17" s="252"/>
      <c r="N17" s="252"/>
      <c r="O17" s="252"/>
      <c r="P17" s="252"/>
      <c r="Q17" s="252"/>
      <c r="R17" s="252"/>
      <c r="S17" s="37"/>
      <c r="T17" s="37"/>
    </row>
    <row r="18" spans="2:20" ht="15.75">
      <c r="B18" s="238"/>
      <c r="C18" s="238"/>
      <c r="D18" s="238"/>
      <c r="E18" s="238"/>
      <c r="F18" s="238"/>
      <c r="G18" s="238"/>
      <c r="H18" s="238"/>
      <c r="J18" s="37"/>
      <c r="K18" s="39"/>
      <c r="L18" s="37"/>
      <c r="M18" s="37"/>
      <c r="N18" s="37"/>
      <c r="O18" s="37"/>
      <c r="P18" s="37"/>
      <c r="Q18" s="37"/>
      <c r="R18" s="37"/>
      <c r="S18" s="37"/>
      <c r="T18" s="37"/>
    </row>
    <row r="19" spans="2:20" ht="15.75">
      <c r="B19" s="264" t="s">
        <v>383</v>
      </c>
      <c r="C19" s="246"/>
      <c r="D19" s="246"/>
      <c r="E19" s="246"/>
      <c r="F19" s="246" t="s">
        <v>384</v>
      </c>
      <c r="G19" s="246"/>
      <c r="H19" s="247"/>
      <c r="J19" s="37"/>
      <c r="K19" s="37"/>
      <c r="L19" s="37"/>
      <c r="M19" s="37"/>
      <c r="N19" s="37"/>
      <c r="O19" s="37"/>
      <c r="P19" s="37"/>
      <c r="Q19" s="37"/>
      <c r="R19" s="37"/>
      <c r="S19" s="37"/>
      <c r="T19" s="37"/>
    </row>
    <row r="20" spans="2:20" ht="15.75">
      <c r="B20" s="265"/>
      <c r="C20" s="242" t="s">
        <v>385</v>
      </c>
      <c r="D20" s="242" t="s">
        <v>386</v>
      </c>
      <c r="E20" s="242" t="s">
        <v>17</v>
      </c>
      <c r="F20" s="242" t="s">
        <v>15</v>
      </c>
      <c r="G20" s="242" t="s">
        <v>16</v>
      </c>
      <c r="H20" s="266" t="s">
        <v>387</v>
      </c>
      <c r="J20" s="37"/>
      <c r="K20" s="37"/>
      <c r="L20" s="37"/>
      <c r="M20" s="37"/>
      <c r="N20" s="37"/>
      <c r="O20" s="37"/>
      <c r="P20" s="37"/>
      <c r="Q20" s="37"/>
      <c r="R20" s="37"/>
      <c r="S20" s="37"/>
      <c r="T20" s="37"/>
    </row>
    <row r="21" spans="2:20" ht="15.75">
      <c r="B21" s="267"/>
      <c r="C21" s="268">
        <v>0.01</v>
      </c>
      <c r="D21" s="268">
        <v>0.002</v>
      </c>
      <c r="E21" s="268">
        <v>1.36</v>
      </c>
      <c r="F21" s="268">
        <v>0.541</v>
      </c>
      <c r="G21" s="268">
        <v>0.189</v>
      </c>
      <c r="H21" s="269">
        <v>0.116</v>
      </c>
      <c r="J21" s="37"/>
      <c r="K21" s="42"/>
      <c r="L21" s="37"/>
      <c r="M21" s="37"/>
      <c r="N21" s="37"/>
      <c r="O21" s="37"/>
      <c r="P21" s="37"/>
      <c r="Q21" s="37"/>
      <c r="R21" s="37"/>
      <c r="S21" s="37"/>
      <c r="T21" s="37"/>
    </row>
    <row r="22" spans="2:20" ht="15.75">
      <c r="B22" s="238"/>
      <c r="C22" s="238"/>
      <c r="D22" s="238"/>
      <c r="E22" s="238"/>
      <c r="F22" s="238"/>
      <c r="G22" s="238"/>
      <c r="H22" s="238"/>
      <c r="J22" s="37"/>
      <c r="K22" s="37"/>
      <c r="L22" s="253"/>
      <c r="M22" s="37"/>
      <c r="N22" s="37"/>
      <c r="O22" s="37"/>
      <c r="P22" s="37"/>
      <c r="Q22" s="37"/>
      <c r="R22" s="37"/>
      <c r="S22" s="37"/>
      <c r="T22" s="37"/>
    </row>
    <row r="23" spans="2:20" ht="15.75">
      <c r="B23" s="240" t="s">
        <v>388</v>
      </c>
      <c r="C23" s="238"/>
      <c r="D23" s="238"/>
      <c r="E23" s="238"/>
      <c r="F23" s="238" t="s">
        <v>389</v>
      </c>
      <c r="G23" s="238"/>
      <c r="H23" s="238"/>
      <c r="J23" s="37"/>
      <c r="K23" s="37"/>
      <c r="L23" s="253"/>
      <c r="M23" s="37"/>
      <c r="N23" s="37"/>
      <c r="O23" s="37"/>
      <c r="P23" s="37"/>
      <c r="Q23" s="37"/>
      <c r="R23" s="37"/>
      <c r="S23" s="37"/>
      <c r="T23" s="37"/>
    </row>
    <row r="24" spans="2:20" ht="15.75">
      <c r="B24" s="238"/>
      <c r="C24" s="243">
        <f aca="true" t="shared" si="0" ref="C24:H24">$C$4*$C$5*$C$6%*C21*10^-6</f>
        <v>0.0114642</v>
      </c>
      <c r="D24" s="243">
        <f t="shared" si="0"/>
        <v>0.00229284</v>
      </c>
      <c r="E24" s="243">
        <f t="shared" si="0"/>
        <v>1.5591312000000002</v>
      </c>
      <c r="F24" s="243">
        <f t="shared" si="0"/>
        <v>0.62021322</v>
      </c>
      <c r="G24" s="243">
        <f t="shared" si="0"/>
        <v>0.21667338</v>
      </c>
      <c r="H24" s="243">
        <f t="shared" si="0"/>
        <v>0.13298472</v>
      </c>
      <c r="J24" s="37"/>
      <c r="K24" s="37"/>
      <c r="L24" s="253"/>
      <c r="M24" s="37"/>
      <c r="N24" s="37"/>
      <c r="O24" s="37"/>
      <c r="P24" s="37"/>
      <c r="Q24" s="37"/>
      <c r="R24" s="37"/>
      <c r="S24" s="37"/>
      <c r="T24" s="37"/>
    </row>
    <row r="25" spans="2:20" ht="15.75">
      <c r="B25" s="238"/>
      <c r="C25" s="238"/>
      <c r="D25" s="238"/>
      <c r="E25" s="238"/>
      <c r="F25" s="238"/>
      <c r="G25" s="238"/>
      <c r="H25" s="238"/>
      <c r="J25" s="37"/>
      <c r="K25" s="37"/>
      <c r="L25" s="37"/>
      <c r="M25" s="253"/>
      <c r="N25" s="37"/>
      <c r="O25" s="37"/>
      <c r="P25" s="37"/>
      <c r="Q25" s="37"/>
      <c r="R25" s="37"/>
      <c r="S25" s="37"/>
      <c r="T25" s="37"/>
    </row>
    <row r="26" spans="2:20" ht="15.75">
      <c r="B26" s="240" t="s">
        <v>390</v>
      </c>
      <c r="C26" s="241">
        <f>SUM(C17,C24:H24)</f>
        <v>82.67751755999998</v>
      </c>
      <c r="D26" s="238"/>
      <c r="E26" s="238"/>
      <c r="F26" s="243" t="s">
        <v>389</v>
      </c>
      <c r="G26" s="238"/>
      <c r="H26" s="238"/>
      <c r="J26" s="37"/>
      <c r="K26" s="39"/>
      <c r="L26" s="37"/>
      <c r="M26" s="37"/>
      <c r="N26" s="37"/>
      <c r="O26" s="37"/>
      <c r="P26" s="37"/>
      <c r="Q26" s="37"/>
      <c r="R26" s="37"/>
      <c r="S26" s="37"/>
      <c r="T26" s="37"/>
    </row>
    <row r="27" spans="2:20" ht="18" customHeight="1">
      <c r="B27" s="238"/>
      <c r="C27" s="238"/>
      <c r="D27" s="238"/>
      <c r="E27" s="238"/>
      <c r="F27" s="238"/>
      <c r="G27" s="238"/>
      <c r="H27" s="238"/>
      <c r="J27" s="37"/>
      <c r="K27" s="44"/>
      <c r="L27" s="44"/>
      <c r="M27" s="415"/>
      <c r="N27" s="416"/>
      <c r="O27" s="37"/>
      <c r="P27" s="37"/>
      <c r="Q27" s="37"/>
      <c r="R27" s="37"/>
      <c r="S27" s="37"/>
      <c r="T27" s="37"/>
    </row>
    <row r="28" spans="1:20" ht="18" customHeight="1">
      <c r="A28" s="234"/>
      <c r="B28" s="240" t="s">
        <v>391</v>
      </c>
      <c r="C28" s="244" t="s">
        <v>392</v>
      </c>
      <c r="D28" s="238"/>
      <c r="E28" s="238"/>
      <c r="F28" s="238"/>
      <c r="G28" s="238"/>
      <c r="H28" s="238"/>
      <c r="J28" s="37"/>
      <c r="K28" s="254"/>
      <c r="L28" s="112"/>
      <c r="M28" s="44"/>
      <c r="N28" s="44"/>
      <c r="O28" s="37"/>
      <c r="P28" s="37"/>
      <c r="Q28" s="37"/>
      <c r="R28" s="37"/>
      <c r="S28" s="37"/>
      <c r="T28" s="37"/>
    </row>
    <row r="29" spans="1:20" ht="18" customHeight="1">
      <c r="A29" s="234"/>
      <c r="B29" s="240"/>
      <c r="C29" s="243" t="s">
        <v>424</v>
      </c>
      <c r="D29" s="238"/>
      <c r="E29" s="238"/>
      <c r="F29" s="238"/>
      <c r="G29" s="238"/>
      <c r="H29" s="238"/>
      <c r="J29" s="37"/>
      <c r="K29" s="254"/>
      <c r="L29" s="112"/>
      <c r="M29" s="44"/>
      <c r="N29" s="44"/>
      <c r="O29" s="37"/>
      <c r="P29" s="37"/>
      <c r="Q29" s="37"/>
      <c r="R29" s="37"/>
      <c r="S29" s="37"/>
      <c r="T29" s="37"/>
    </row>
    <row r="30" spans="1:20" ht="18" customHeight="1">
      <c r="A30" s="234"/>
      <c r="B30" s="240"/>
      <c r="C30" s="243" t="s">
        <v>423</v>
      </c>
      <c r="D30" s="238"/>
      <c r="E30" s="238"/>
      <c r="F30" s="238"/>
      <c r="G30" s="238"/>
      <c r="H30" s="238"/>
      <c r="J30" s="37"/>
      <c r="K30" s="254"/>
      <c r="L30" s="112"/>
      <c r="M30" s="44"/>
      <c r="N30" s="44"/>
      <c r="O30" s="37"/>
      <c r="P30" s="37"/>
      <c r="Q30" s="37"/>
      <c r="R30" s="37"/>
      <c r="S30" s="37"/>
      <c r="T30" s="37"/>
    </row>
    <row r="31" spans="1:20" ht="18" customHeight="1">
      <c r="A31" s="234"/>
      <c r="B31" s="240"/>
      <c r="C31" s="243"/>
      <c r="D31" s="238"/>
      <c r="E31" s="238"/>
      <c r="F31" s="238"/>
      <c r="G31" s="238"/>
      <c r="H31" s="238"/>
      <c r="J31" s="37"/>
      <c r="K31" s="254"/>
      <c r="L31" s="112"/>
      <c r="M31" s="44"/>
      <c r="N31" s="44"/>
      <c r="O31" s="37"/>
      <c r="P31" s="37"/>
      <c r="Q31" s="37"/>
      <c r="R31" s="37"/>
      <c r="S31" s="37"/>
      <c r="T31" s="37"/>
    </row>
    <row r="32" spans="2:20" ht="18" customHeight="1">
      <c r="B32" s="238"/>
      <c r="C32" s="241">
        <f>C8*C9</f>
        <v>16.8</v>
      </c>
      <c r="D32" s="243"/>
      <c r="E32" s="245"/>
      <c r="F32" s="243" t="s">
        <v>389</v>
      </c>
      <c r="G32" s="238"/>
      <c r="H32" s="238"/>
      <c r="I32" s="37"/>
      <c r="J32" s="37"/>
      <c r="K32" s="37"/>
      <c r="L32" s="37"/>
      <c r="M32" s="37"/>
      <c r="N32" s="37"/>
      <c r="O32" s="235"/>
      <c r="P32" s="37"/>
      <c r="Q32" s="37"/>
      <c r="R32" s="37"/>
      <c r="S32" s="37"/>
      <c r="T32" s="37"/>
    </row>
    <row r="33" spans="2:20" ht="16.5" customHeight="1">
      <c r="B33" s="238"/>
      <c r="C33" s="238"/>
      <c r="D33" s="238"/>
      <c r="E33" s="238"/>
      <c r="F33" s="243"/>
      <c r="G33" s="238"/>
      <c r="H33" s="238"/>
      <c r="J33" s="37"/>
      <c r="K33" s="37"/>
      <c r="L33" s="37"/>
      <c r="M33" s="37"/>
      <c r="N33" s="37"/>
      <c r="O33" s="235"/>
      <c r="P33" s="37"/>
      <c r="Q33" s="37"/>
      <c r="R33" s="37"/>
      <c r="S33" s="37"/>
      <c r="T33" s="37"/>
    </row>
    <row r="34" spans="2:20" ht="18" customHeight="1">
      <c r="B34" s="240" t="s">
        <v>393</v>
      </c>
      <c r="C34" s="241">
        <f>C26+C32</f>
        <v>99.47751755999998</v>
      </c>
      <c r="D34" s="238"/>
      <c r="E34" s="238"/>
      <c r="F34" s="243" t="s">
        <v>389</v>
      </c>
      <c r="G34" s="238"/>
      <c r="H34" s="238"/>
      <c r="J34" s="37"/>
      <c r="K34" s="37"/>
      <c r="L34" s="37"/>
      <c r="M34" s="37"/>
      <c r="N34" s="37"/>
      <c r="O34" s="37"/>
      <c r="P34" s="37"/>
      <c r="Q34" s="37"/>
      <c r="R34" s="37"/>
      <c r="S34" s="37"/>
      <c r="T34" s="37"/>
    </row>
    <row r="35" spans="2:20" ht="18.75" customHeight="1">
      <c r="B35" s="238"/>
      <c r="C35" s="238"/>
      <c r="D35" s="238"/>
      <c r="E35" s="238"/>
      <c r="F35" s="238"/>
      <c r="G35" s="238"/>
      <c r="H35" s="238"/>
      <c r="J35" s="37"/>
      <c r="K35" s="37"/>
      <c r="L35" s="37"/>
      <c r="M35" s="37"/>
      <c r="N35" s="37"/>
      <c r="O35" s="112"/>
      <c r="P35" s="37"/>
      <c r="Q35" s="37"/>
      <c r="R35" s="37"/>
      <c r="S35" s="37"/>
      <c r="T35" s="37"/>
    </row>
    <row r="36" spans="2:20" ht="15.75" customHeight="1">
      <c r="B36" s="335" t="s">
        <v>394</v>
      </c>
      <c r="C36" s="237"/>
      <c r="D36" s="237"/>
      <c r="E36" s="336"/>
      <c r="F36" s="238"/>
      <c r="G36" s="238"/>
      <c r="H36" s="238"/>
      <c r="J36" s="37"/>
      <c r="K36" s="37"/>
      <c r="L36" s="37"/>
      <c r="M36" s="37"/>
      <c r="N36" s="37"/>
      <c r="O36" s="37"/>
      <c r="P36" s="37"/>
      <c r="Q36" s="37"/>
      <c r="R36" s="37"/>
      <c r="S36" s="37"/>
      <c r="T36" s="37"/>
    </row>
    <row r="37" spans="2:8" ht="15.75">
      <c r="B37" s="248" t="s">
        <v>395</v>
      </c>
      <c r="C37" s="249" t="s">
        <v>396</v>
      </c>
      <c r="D37" s="249" t="s">
        <v>397</v>
      </c>
      <c r="E37" s="250" t="s">
        <v>398</v>
      </c>
      <c r="F37" s="238"/>
      <c r="G37" s="238"/>
      <c r="H37" s="238"/>
    </row>
    <row r="38" spans="1:15" ht="15.75">
      <c r="A38" s="1">
        <v>1</v>
      </c>
      <c r="B38" s="255" t="s">
        <v>25</v>
      </c>
      <c r="C38" s="256">
        <v>30</v>
      </c>
      <c r="D38" s="256">
        <v>1000</v>
      </c>
      <c r="E38" s="257">
        <f>D38*10^-6</f>
        <v>0.001</v>
      </c>
      <c r="F38" s="238"/>
      <c r="G38" s="238"/>
      <c r="H38" s="238"/>
      <c r="O38" s="112"/>
    </row>
    <row r="39" spans="1:12" ht="15.75">
      <c r="A39" s="1">
        <v>2</v>
      </c>
      <c r="B39" s="255" t="s">
        <v>26</v>
      </c>
      <c r="C39" s="256">
        <v>25</v>
      </c>
      <c r="D39" s="256">
        <v>1400</v>
      </c>
      <c r="E39" s="257">
        <f>D39*10^-6</f>
        <v>0.0014</v>
      </c>
      <c r="F39" s="238"/>
      <c r="G39" s="238"/>
      <c r="H39" s="238"/>
      <c r="L39" s="3"/>
    </row>
    <row r="40" spans="1:12" ht="15.75">
      <c r="A40" s="1">
        <v>3</v>
      </c>
      <c r="B40" s="255" t="s">
        <v>27</v>
      </c>
      <c r="C40" s="256">
        <v>30</v>
      </c>
      <c r="D40" s="256">
        <v>1080</v>
      </c>
      <c r="E40" s="257">
        <f aca="true" t="shared" si="1" ref="E40:E45">D40*10^-6</f>
        <v>0.00108</v>
      </c>
      <c r="F40" s="238"/>
      <c r="G40" s="238"/>
      <c r="H40" s="238"/>
      <c r="L40" s="3"/>
    </row>
    <row r="41" spans="1:12" ht="15.75">
      <c r="A41" s="1">
        <v>4</v>
      </c>
      <c r="B41" s="255" t="s">
        <v>28</v>
      </c>
      <c r="C41" s="258">
        <v>5.9</v>
      </c>
      <c r="D41" s="258">
        <v>510</v>
      </c>
      <c r="E41" s="259">
        <f t="shared" si="1"/>
        <v>0.0005099999999999999</v>
      </c>
      <c r="F41" s="238"/>
      <c r="G41" s="238"/>
      <c r="H41" s="238"/>
      <c r="L41" s="3"/>
    </row>
    <row r="42" spans="1:12" ht="15.75">
      <c r="A42" s="1">
        <v>5</v>
      </c>
      <c r="B42" s="255" t="s">
        <v>76</v>
      </c>
      <c r="C42" s="258">
        <v>37.55</v>
      </c>
      <c r="D42" s="258">
        <v>494</v>
      </c>
      <c r="E42" s="259">
        <f t="shared" si="1"/>
        <v>0.000494</v>
      </c>
      <c r="F42" s="238"/>
      <c r="G42" s="238"/>
      <c r="H42" s="238"/>
      <c r="L42" s="3"/>
    </row>
    <row r="43" spans="1:8" ht="15.75">
      <c r="A43" s="1">
        <v>6</v>
      </c>
      <c r="B43" s="255" t="s">
        <v>29</v>
      </c>
      <c r="C43" s="258">
        <v>37</v>
      </c>
      <c r="D43" s="258">
        <v>681</v>
      </c>
      <c r="E43" s="259">
        <f t="shared" si="1"/>
        <v>0.000681</v>
      </c>
      <c r="F43" s="238"/>
      <c r="G43" s="238"/>
      <c r="H43" s="238"/>
    </row>
    <row r="44" spans="1:8" ht="15.75">
      <c r="A44" s="1">
        <v>7</v>
      </c>
      <c r="B44" s="255" t="s">
        <v>77</v>
      </c>
      <c r="C44" s="258">
        <v>83.8</v>
      </c>
      <c r="D44" s="258">
        <v>314</v>
      </c>
      <c r="E44" s="259">
        <f t="shared" si="1"/>
        <v>0.000314</v>
      </c>
      <c r="F44" s="238"/>
      <c r="G44" s="238"/>
      <c r="H44" s="238"/>
    </row>
    <row r="45" spans="1:8" ht="15.75">
      <c r="A45" s="1">
        <v>8</v>
      </c>
      <c r="B45" s="260" t="s">
        <v>75</v>
      </c>
      <c r="C45" s="261"/>
      <c r="D45" s="262">
        <v>0</v>
      </c>
      <c r="E45" s="263">
        <f t="shared" si="1"/>
        <v>0</v>
      </c>
      <c r="F45" s="238"/>
      <c r="G45" s="238"/>
      <c r="H45" s="238"/>
    </row>
    <row r="72" ht="15.75">
      <c r="G72" s="2"/>
    </row>
  </sheetData>
  <sheetProtection sheet="1" objects="1" scenarios="1"/>
  <mergeCells count="1">
    <mergeCell ref="M27:N27"/>
  </mergeCell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P34"/>
  <sheetViews>
    <sheetView showGridLines="0" tabSelected="1" defaultGridColor="0" zoomScale="80" zoomScaleNormal="80" zoomScalePageLayoutView="0" colorId="8" workbookViewId="0" topLeftCell="A1">
      <selection activeCell="G24" sqref="G24"/>
    </sheetView>
  </sheetViews>
  <sheetFormatPr defaultColWidth="0" defaultRowHeight="12.75" zeroHeight="1"/>
  <cols>
    <col min="1" max="1" width="1.57421875" style="286" customWidth="1"/>
    <col min="2" max="2" width="29.140625" style="286" customWidth="1"/>
    <col min="3" max="3" width="10.28125" style="286" customWidth="1"/>
    <col min="4" max="4" width="12.28125" style="286" customWidth="1"/>
    <col min="5" max="5" width="11.421875" style="286" customWidth="1"/>
    <col min="6" max="6" width="12.00390625" style="286" customWidth="1"/>
    <col min="7" max="8" width="9.28125" style="286" customWidth="1"/>
    <col min="9" max="9" width="12.28125" style="286" customWidth="1"/>
    <col min="10" max="10" width="11.421875" style="286" customWidth="1"/>
    <col min="11" max="11" width="9.7109375" style="286" customWidth="1"/>
    <col min="12" max="12" width="1.421875" style="286" customWidth="1"/>
    <col min="13" max="13" width="24.140625" style="286" customWidth="1"/>
    <col min="14" max="14" width="13.28125" style="286" customWidth="1"/>
    <col min="15" max="15" width="10.28125" style="286" customWidth="1"/>
    <col min="16" max="16" width="12.28125" style="286" customWidth="1"/>
    <col min="17" max="17" width="5.140625" style="286" customWidth="1"/>
    <col min="18" max="16384" width="0" style="286" hidden="1" customWidth="1"/>
  </cols>
  <sheetData>
    <row r="1" ht="33" customHeight="1">
      <c r="B1" s="287" t="s">
        <v>437</v>
      </c>
    </row>
    <row r="2" spans="2:11" ht="19.5" customHeight="1">
      <c r="B2" s="270" t="s">
        <v>399</v>
      </c>
      <c r="C2" s="271"/>
      <c r="D2" s="271"/>
      <c r="E2" s="271"/>
      <c r="F2" s="271"/>
      <c r="G2" s="288"/>
      <c r="H2" s="288"/>
      <c r="I2" s="288"/>
      <c r="J2" s="288"/>
      <c r="K2" s="288"/>
    </row>
    <row r="3" spans="2:16" ht="16.5" customHeight="1">
      <c r="B3" s="289" t="s">
        <v>20</v>
      </c>
      <c r="C3" s="393" t="str">
        <f>'Data input'!K1</f>
        <v>Joe Bloggs</v>
      </c>
      <c r="D3" s="393"/>
      <c r="E3" s="290"/>
      <c r="F3" s="290"/>
      <c r="G3" s="290"/>
      <c r="H3" s="290"/>
      <c r="I3" s="290"/>
      <c r="J3" s="290"/>
      <c r="K3" s="291"/>
      <c r="M3" s="292" t="s">
        <v>18</v>
      </c>
      <c r="N3" s="341" t="s">
        <v>436</v>
      </c>
      <c r="O3" s="293" t="s">
        <v>31</v>
      </c>
      <c r="P3" s="341" t="s">
        <v>436</v>
      </c>
    </row>
    <row r="4" spans="2:16" ht="19.5" customHeight="1">
      <c r="B4" s="294" t="s">
        <v>100</v>
      </c>
      <c r="C4" s="348">
        <f>'Data input'!P8</f>
        <v>6</v>
      </c>
      <c r="D4" s="31" t="str">
        <f>VLOOKUP(C4,'Data input'!Y3:Z11,2,FALSE)</f>
        <v>QLD</v>
      </c>
      <c r="E4" s="31"/>
      <c r="F4" s="31"/>
      <c r="G4" s="31"/>
      <c r="H4" s="31"/>
      <c r="I4" s="31"/>
      <c r="J4" s="31"/>
      <c r="K4" s="298"/>
      <c r="M4" s="294" t="s">
        <v>141</v>
      </c>
      <c r="N4" s="295">
        <f>'Electicity &amp; Diesel'!C34</f>
        <v>99.47751755999998</v>
      </c>
      <c r="O4" s="296" t="s">
        <v>142</v>
      </c>
      <c r="P4" s="297">
        <f>SUM(N4)</f>
        <v>99.47751755999998</v>
      </c>
    </row>
    <row r="5" spans="2:16" ht="15.75" customHeight="1">
      <c r="B5" s="289" t="s">
        <v>7</v>
      </c>
      <c r="C5" s="334" t="str">
        <f>'Data input'!D3</f>
        <v>Bulls&gt;1</v>
      </c>
      <c r="D5" s="334" t="str">
        <f>'Data input'!E3</f>
        <v>Steers 1 to 2</v>
      </c>
      <c r="E5" s="334" t="str">
        <f>'Data input'!F3</f>
        <v>Weaners&lt;1</v>
      </c>
      <c r="F5" s="334" t="str">
        <f>'Data input'!G3</f>
        <v>Cows 1 to 2</v>
      </c>
      <c r="G5" s="334" t="str">
        <f>'Data input'!H3</f>
        <v>Cows&gt;3</v>
      </c>
      <c r="H5" s="334" t="str">
        <f>'Data input'!I3</f>
        <v>Cows&gt;2</v>
      </c>
      <c r="I5" s="334" t="str">
        <f>'Data input'!J3</f>
        <v>Steers 2 to 3</v>
      </c>
      <c r="J5" s="334" t="str">
        <f>'Data input'!K3</f>
        <v>Steers&gt;3</v>
      </c>
      <c r="K5" s="319" t="str">
        <f>'Data input'!L3</f>
        <v>Units</v>
      </c>
      <c r="M5" s="294" t="s">
        <v>143</v>
      </c>
      <c r="N5" s="295">
        <f>'Enteric fermentation'!O66</f>
        <v>1003.9265774741755</v>
      </c>
      <c r="O5" s="296" t="s">
        <v>144</v>
      </c>
      <c r="P5" s="297">
        <f>SUM(N5)</f>
        <v>1003.9265774741755</v>
      </c>
    </row>
    <row r="6" spans="2:16" ht="16.5">
      <c r="B6" s="294" t="s">
        <v>11</v>
      </c>
      <c r="C6" s="31">
        <f>'Data input'!D8</f>
        <v>20</v>
      </c>
      <c r="D6" s="31">
        <f>'Data input'!E8</f>
        <v>40</v>
      </c>
      <c r="E6" s="31">
        <f>'Data input'!F8</f>
        <v>100</v>
      </c>
      <c r="F6" s="31">
        <f>'Data input'!G8</f>
        <v>50</v>
      </c>
      <c r="G6" s="31">
        <f>'Data input'!H8</f>
        <v>200</v>
      </c>
      <c r="H6" s="31">
        <f>'Data input'!I8</f>
        <v>100</v>
      </c>
      <c r="I6" s="31">
        <f>'Data input'!J8</f>
        <v>75</v>
      </c>
      <c r="J6" s="31">
        <f>'Data input'!$K$8</f>
        <v>60</v>
      </c>
      <c r="K6" s="298" t="str">
        <f>'Data input'!L8</f>
        <v>head</v>
      </c>
      <c r="M6" s="294" t="s">
        <v>145</v>
      </c>
      <c r="N6" s="299">
        <f>'Manure management'!C36</f>
        <v>0.555388709364836</v>
      </c>
      <c r="O6" s="343" t="s">
        <v>146</v>
      </c>
      <c r="P6" s="342">
        <f>SUM(N7:N9)</f>
        <v>191.58240434810455</v>
      </c>
    </row>
    <row r="7" spans="2:14" ht="16.5">
      <c r="B7" s="294" t="s">
        <v>64</v>
      </c>
      <c r="C7" s="32">
        <f>'Data input'!D14</f>
        <v>772.5</v>
      </c>
      <c r="D7" s="32">
        <f>'Data input'!E14</f>
        <v>195</v>
      </c>
      <c r="E7" s="32">
        <f>'Data input'!F14</f>
        <v>186.25</v>
      </c>
      <c r="F7" s="32">
        <f>'Data input'!G14</f>
        <v>367.5</v>
      </c>
      <c r="G7" s="32">
        <f>'Data input'!H14</f>
        <v>507.5</v>
      </c>
      <c r="H7" s="32">
        <f>'Data input'!I14</f>
        <v>183.75</v>
      </c>
      <c r="I7" s="32">
        <f>'Data input'!J14</f>
        <v>131.25</v>
      </c>
      <c r="J7" s="32">
        <f>'Data input'!$K$14</f>
        <v>470</v>
      </c>
      <c r="K7" s="298" t="str">
        <f>'Data input'!L14</f>
        <v>kg/head</v>
      </c>
      <c r="M7" s="294" t="s">
        <v>147</v>
      </c>
      <c r="N7" s="295">
        <f>'Agricultural soils'!C49</f>
        <v>0</v>
      </c>
    </row>
    <row r="8" spans="2:14" ht="16.5">
      <c r="B8" s="294" t="s">
        <v>87</v>
      </c>
      <c r="C8" s="33">
        <f>'Data input'!D20</f>
        <v>0.4625</v>
      </c>
      <c r="D8" s="33">
        <f>'Data input'!E20</f>
        <v>0.6200000000000001</v>
      </c>
      <c r="E8" s="33">
        <f>'Data input'!F20</f>
        <v>0.6175</v>
      </c>
      <c r="F8" s="33">
        <f>'Data input'!G20</f>
        <v>0.495</v>
      </c>
      <c r="G8" s="33">
        <f>'Data input'!H20</f>
        <v>0.3275</v>
      </c>
      <c r="H8" s="33">
        <f>'Data input'!I20</f>
        <v>0.5900000000000001</v>
      </c>
      <c r="I8" s="33">
        <f>'Data input'!J20</f>
        <v>0.5900000000000001</v>
      </c>
      <c r="J8" s="33">
        <f>'Data input'!$K$20</f>
        <v>0.35250000000000004</v>
      </c>
      <c r="K8" s="298" t="str">
        <f>'Data input'!L20</f>
        <v>kg/day</v>
      </c>
      <c r="M8" s="294" t="s">
        <v>148</v>
      </c>
      <c r="N8" s="333">
        <f>'Agricultural soils'!D217</f>
        <v>110.6578445557407</v>
      </c>
    </row>
    <row r="9" spans="2:14" ht="16.5">
      <c r="B9" s="294" t="s">
        <v>89</v>
      </c>
      <c r="C9" s="34">
        <f>'Data input'!D26</f>
        <v>15.75</v>
      </c>
      <c r="D9" s="34">
        <f>'Data input'!E26</f>
        <v>15.75</v>
      </c>
      <c r="E9" s="34">
        <f>'Data input'!F26</f>
        <v>15.75</v>
      </c>
      <c r="F9" s="34">
        <f>'Data input'!G26</f>
        <v>15.75</v>
      </c>
      <c r="G9" s="34">
        <f>'Data input'!H26</f>
        <v>15.75</v>
      </c>
      <c r="H9" s="34">
        <f>'Data input'!I26</f>
        <v>15.75</v>
      </c>
      <c r="I9" s="34">
        <f>'Data input'!J26</f>
        <v>15.75</v>
      </c>
      <c r="J9" s="34">
        <f>'Data input'!$K$26</f>
        <v>15.75</v>
      </c>
      <c r="K9" s="298" t="str">
        <f>'Data input'!L26</f>
        <v>%</v>
      </c>
      <c r="M9" s="300" t="s">
        <v>149</v>
      </c>
      <c r="N9" s="331">
        <f>'Agricultural soils'!C121</f>
        <v>80.92455979236384</v>
      </c>
    </row>
    <row r="10" spans="2:14" ht="15">
      <c r="B10" s="300" t="s">
        <v>90</v>
      </c>
      <c r="C10" s="281">
        <f>'Data input'!D32</f>
        <v>67.75</v>
      </c>
      <c r="D10" s="281">
        <f>'Data input'!E32</f>
        <v>67.75</v>
      </c>
      <c r="E10" s="281">
        <f>'Data input'!F32</f>
        <v>67.75</v>
      </c>
      <c r="F10" s="281">
        <f>'Data input'!G32</f>
        <v>67.75</v>
      </c>
      <c r="G10" s="281">
        <f>'Data input'!H32</f>
        <v>67.75</v>
      </c>
      <c r="H10" s="281">
        <f>'Data input'!I32</f>
        <v>67.75</v>
      </c>
      <c r="I10" s="281">
        <f>'Data input'!J32</f>
        <v>67.75</v>
      </c>
      <c r="J10" s="281">
        <f>'Data input'!$K$32</f>
        <v>67.75</v>
      </c>
      <c r="K10" s="301" t="str">
        <f>'Data input'!L32</f>
        <v>%</v>
      </c>
      <c r="M10" s="294" t="s">
        <v>69</v>
      </c>
      <c r="N10" s="295">
        <f>-1*Trees!$F$29*'Data summary'!C18</f>
        <v>-3.4964999999999997</v>
      </c>
    </row>
    <row r="11" spans="2:14" ht="15">
      <c r="B11" s="345" t="s">
        <v>22</v>
      </c>
      <c r="C11" s="346">
        <f>'Data input'!C35</f>
        <v>400</v>
      </c>
      <c r="D11" s="346"/>
      <c r="E11" s="346"/>
      <c r="F11" s="346"/>
      <c r="G11" s="346"/>
      <c r="H11" s="346"/>
      <c r="I11" s="346"/>
      <c r="J11" s="346"/>
      <c r="K11" s="347" t="s">
        <v>23</v>
      </c>
      <c r="M11" s="300" t="s">
        <v>80</v>
      </c>
      <c r="N11" s="302">
        <f>SUM(N4:N10)</f>
        <v>1292.045388091645</v>
      </c>
    </row>
    <row r="12" spans="2:11" ht="15.75" customHeight="1">
      <c r="B12" s="294" t="s">
        <v>21</v>
      </c>
      <c r="C12" s="31">
        <f>'Data input'!C34</f>
        <v>10</v>
      </c>
      <c r="D12" s="31"/>
      <c r="E12" s="35"/>
      <c r="F12" s="35"/>
      <c r="G12" s="35"/>
      <c r="H12" s="35"/>
      <c r="I12" s="35"/>
      <c r="J12" s="35"/>
      <c r="K12" s="298" t="s">
        <v>23</v>
      </c>
    </row>
    <row r="13" spans="2:11" ht="16.5" customHeight="1">
      <c r="B13" s="294" t="s">
        <v>119</v>
      </c>
      <c r="C13" s="31">
        <f>'Data input'!D47</f>
        <v>0</v>
      </c>
      <c r="D13" s="31"/>
      <c r="E13" s="31"/>
      <c r="F13" s="31"/>
      <c r="G13" s="31"/>
      <c r="H13" s="31"/>
      <c r="I13" s="31"/>
      <c r="J13" s="31"/>
      <c r="K13" s="298" t="s">
        <v>30</v>
      </c>
    </row>
    <row r="14" spans="2:11" ht="15">
      <c r="B14" s="300" t="s">
        <v>120</v>
      </c>
      <c r="C14" s="303">
        <f>'Data input'!D41</f>
        <v>0</v>
      </c>
      <c r="D14" s="303"/>
      <c r="E14" s="303"/>
      <c r="F14" s="303"/>
      <c r="G14" s="303"/>
      <c r="H14" s="303"/>
      <c r="I14" s="303"/>
      <c r="J14" s="303"/>
      <c r="K14" s="301" t="s">
        <v>30</v>
      </c>
    </row>
    <row r="15" spans="2:11" ht="15">
      <c r="B15" s="345" t="s">
        <v>14</v>
      </c>
      <c r="C15" s="346">
        <f>'Data input'!C49</f>
        <v>30000</v>
      </c>
      <c r="D15" s="346"/>
      <c r="E15" s="346"/>
      <c r="F15" s="346"/>
      <c r="G15" s="346"/>
      <c r="H15" s="346"/>
      <c r="I15" s="346"/>
      <c r="J15" s="346"/>
      <c r="K15" s="347" t="s">
        <v>12</v>
      </c>
    </row>
    <row r="16" spans="2:11" ht="15">
      <c r="B16" s="300" t="s">
        <v>78</v>
      </c>
      <c r="C16" s="303">
        <f>'Data input'!C50</f>
        <v>12000</v>
      </c>
      <c r="D16" s="303"/>
      <c r="E16" s="303"/>
      <c r="F16" s="303"/>
      <c r="G16" s="303"/>
      <c r="H16" s="303"/>
      <c r="I16" s="303"/>
      <c r="J16" s="303"/>
      <c r="K16" s="301" t="s">
        <v>13</v>
      </c>
    </row>
    <row r="17" spans="2:11" ht="15">
      <c r="B17" s="344" t="s">
        <v>24</v>
      </c>
      <c r="C17" s="316">
        <f>'Data input'!O32</f>
        <v>2</v>
      </c>
      <c r="D17" s="31" t="str">
        <f>VLOOKUP(C17,'Electicity &amp; Diesel'!A38:B45,2)</f>
        <v>Brown Coal-Victorian </v>
      </c>
      <c r="E17" s="31"/>
      <c r="F17" s="31"/>
      <c r="G17" s="31"/>
      <c r="H17" s="31"/>
      <c r="I17" s="31"/>
      <c r="J17" s="31"/>
      <c r="K17" s="298"/>
    </row>
    <row r="18" spans="2:11" ht="15">
      <c r="B18" s="294" t="s">
        <v>66</v>
      </c>
      <c r="C18" s="31">
        <f>'Data input'!C51</f>
        <v>1</v>
      </c>
      <c r="D18" s="31"/>
      <c r="E18" s="31"/>
      <c r="F18" s="31"/>
      <c r="G18" s="31"/>
      <c r="H18" s="31"/>
      <c r="I18" s="31"/>
      <c r="J18" s="31"/>
      <c r="K18" s="298" t="s">
        <v>68</v>
      </c>
    </row>
    <row r="19" spans="2:11" ht="18.75" customHeight="1">
      <c r="B19" s="294" t="s">
        <v>67</v>
      </c>
      <c r="C19" s="316">
        <f>'Data input'!O35</f>
        <v>9</v>
      </c>
      <c r="D19" s="31" t="str">
        <f>VLOOKUP(C19,Trees!A12:B25,2)</f>
        <v>Speciality Hardwoods</v>
      </c>
      <c r="E19" s="31"/>
      <c r="F19" s="31"/>
      <c r="G19" s="31"/>
      <c r="H19" s="31"/>
      <c r="I19" s="31"/>
      <c r="J19" s="31"/>
      <c r="K19" s="298"/>
    </row>
    <row r="20" spans="2:11" ht="18.75" customHeight="1">
      <c r="B20" s="300" t="s">
        <v>54</v>
      </c>
      <c r="C20" s="317">
        <f>'Data input'!O38</f>
        <v>3</v>
      </c>
      <c r="D20" s="303" t="str">
        <f>VLOOKUP(C20,Trees!A28:B30,2)</f>
        <v>Low (&lt;500)</v>
      </c>
      <c r="E20" s="303"/>
      <c r="F20" s="303"/>
      <c r="G20" s="303"/>
      <c r="H20" s="303"/>
      <c r="I20" s="303"/>
      <c r="J20" s="303"/>
      <c r="K20" s="301"/>
    </row>
    <row r="21" ht="18" customHeight="1"/>
    <row r="22" ht="18.75" customHeight="1"/>
    <row r="23" ht="24.75" customHeight="1"/>
    <row r="24" ht="10.5" customHeight="1"/>
    <row r="25" ht="16.5" customHeight="1">
      <c r="D25" s="304"/>
    </row>
    <row r="26" spans="3:5" ht="16.5" customHeight="1" hidden="1">
      <c r="C26" s="305"/>
      <c r="E26" s="306"/>
    </row>
    <row r="27" ht="15" hidden="1"/>
    <row r="28" ht="15" hidden="1"/>
    <row r="29" ht="15" hidden="1"/>
    <row r="30" ht="15" hidden="1">
      <c r="D30" s="304"/>
    </row>
    <row r="31" ht="15" hidden="1">
      <c r="D31" s="304"/>
    </row>
    <row r="32" ht="15" hidden="1">
      <c r="D32" s="304"/>
    </row>
    <row r="33" ht="15" hidden="1">
      <c r="D33" s="304"/>
    </row>
    <row r="34" ht="15" hidden="1">
      <c r="D34" s="304"/>
    </row>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sheetData>
  <sheetProtection sheet="1" objects="1" scenarios="1"/>
  <mergeCells count="1">
    <mergeCell ref="C3:D3"/>
  </mergeCells>
  <printOptions/>
  <pageMargins left="0.75" right="0.75" top="1" bottom="1" header="0.5" footer="0.5"/>
  <pageSetup fitToHeight="1" fitToWidth="1" horizontalDpi="300" verticalDpi="300" orientation="landscape" paperSize="9" scale="87" r:id="rId3"/>
  <drawing r:id="rId1"/>
  <picture r:id="rId2"/>
</worksheet>
</file>

<file path=xl/worksheets/sheet3.xml><?xml version="1.0" encoding="utf-8"?>
<worksheet xmlns="http://schemas.openxmlformats.org/spreadsheetml/2006/main" xmlns:r="http://schemas.openxmlformats.org/officeDocument/2006/relationships">
  <dimension ref="B1:AE70"/>
  <sheetViews>
    <sheetView showGridLines="0" zoomScale="80" zoomScaleNormal="80" zoomScalePageLayoutView="0" workbookViewId="0" topLeftCell="A1">
      <selection activeCell="A1" sqref="A1"/>
    </sheetView>
  </sheetViews>
  <sheetFormatPr defaultColWidth="8.8515625" defaultRowHeight="12.75"/>
  <cols>
    <col min="1" max="1" width="3.00390625" style="37" customWidth="1"/>
    <col min="2" max="2" width="31.28125" style="39" customWidth="1"/>
    <col min="3" max="3" width="14.7109375" style="37" customWidth="1"/>
    <col min="4" max="4" width="9.57421875" style="37" customWidth="1"/>
    <col min="5" max="5" width="12.421875" style="37" customWidth="1"/>
    <col min="6" max="6" width="14.7109375" style="37" customWidth="1"/>
    <col min="7" max="7" width="12.28125" style="37" customWidth="1"/>
    <col min="8" max="8" width="17.140625" style="37" customWidth="1"/>
    <col min="9" max="9" width="12.00390625" style="37" customWidth="1"/>
    <col min="10" max="10" width="12.28125" style="37" customWidth="1"/>
    <col min="11" max="11" width="11.57421875" style="37" customWidth="1"/>
    <col min="12" max="12" width="12.00390625" style="37" customWidth="1"/>
    <col min="13" max="23" width="8.8515625" style="37" customWidth="1"/>
    <col min="24" max="24" width="4.140625" style="37" customWidth="1"/>
    <col min="25" max="26" width="8.8515625" style="37" customWidth="1"/>
    <col min="27" max="27" width="12.28125" style="37" customWidth="1"/>
    <col min="28" max="28" width="13.140625" style="37" customWidth="1"/>
    <col min="29" max="16384" width="8.8515625" style="37" customWidth="1"/>
  </cols>
  <sheetData>
    <row r="1" spans="2:12" ht="25.5" customHeight="1">
      <c r="B1" s="36" t="s">
        <v>93</v>
      </c>
      <c r="C1" s="36"/>
      <c r="D1" s="36"/>
      <c r="E1" s="36"/>
      <c r="F1" s="36"/>
      <c r="J1" s="37" t="s">
        <v>400</v>
      </c>
      <c r="K1" s="352" t="s">
        <v>94</v>
      </c>
      <c r="L1" s="351"/>
    </row>
    <row r="2" spans="2:31" ht="13.5" customHeight="1">
      <c r="B2" s="38"/>
      <c r="Y2" s="272"/>
      <c r="Z2" s="280" t="s">
        <v>401</v>
      </c>
      <c r="AA2" s="280"/>
      <c r="AB2" s="280"/>
      <c r="AC2" s="280"/>
      <c r="AD2" s="227"/>
      <c r="AE2" s="273"/>
    </row>
    <row r="3" spans="2:31" ht="21" customHeight="1">
      <c r="B3" s="216"/>
      <c r="C3" s="46"/>
      <c r="D3" s="318" t="s">
        <v>4</v>
      </c>
      <c r="E3" s="318" t="s">
        <v>411</v>
      </c>
      <c r="F3" s="318" t="s">
        <v>412</v>
      </c>
      <c r="G3" s="318" t="s">
        <v>97</v>
      </c>
      <c r="H3" s="318" t="s">
        <v>413</v>
      </c>
      <c r="I3" s="318" t="s">
        <v>6</v>
      </c>
      <c r="J3" s="318" t="s">
        <v>414</v>
      </c>
      <c r="K3" s="318" t="s">
        <v>415</v>
      </c>
      <c r="L3" s="319" t="s">
        <v>110</v>
      </c>
      <c r="N3" s="39"/>
      <c r="Y3" s="274">
        <v>1</v>
      </c>
      <c r="Z3" s="37" t="s">
        <v>102</v>
      </c>
      <c r="AB3" s="313" t="s">
        <v>101</v>
      </c>
      <c r="AC3" s="313" t="s">
        <v>65</v>
      </c>
      <c r="AD3" s="313" t="s">
        <v>407</v>
      </c>
      <c r="AE3" s="275"/>
    </row>
    <row r="4" spans="2:31" ht="15.75">
      <c r="B4" s="219" t="s">
        <v>11</v>
      </c>
      <c r="C4" s="28" t="s">
        <v>32</v>
      </c>
      <c r="D4" s="40">
        <v>20</v>
      </c>
      <c r="E4" s="40">
        <v>40</v>
      </c>
      <c r="F4" s="40">
        <v>100</v>
      </c>
      <c r="G4" s="40">
        <v>50</v>
      </c>
      <c r="H4" s="40">
        <v>200</v>
      </c>
      <c r="I4" s="40">
        <v>100</v>
      </c>
      <c r="J4" s="40">
        <v>100</v>
      </c>
      <c r="K4" s="40">
        <v>60</v>
      </c>
      <c r="L4" s="220" t="s">
        <v>150</v>
      </c>
      <c r="M4" s="41"/>
      <c r="N4" s="41"/>
      <c r="Y4" s="274">
        <v>2</v>
      </c>
      <c r="Z4" s="37" t="s">
        <v>206</v>
      </c>
      <c r="AA4" s="39">
        <v>4</v>
      </c>
      <c r="AB4" s="39" t="s">
        <v>102</v>
      </c>
      <c r="AC4" s="39" t="s">
        <v>32</v>
      </c>
      <c r="AD4" s="37">
        <v>1.3</v>
      </c>
      <c r="AE4" s="276"/>
    </row>
    <row r="5" spans="2:31" ht="15.75">
      <c r="B5" s="219"/>
      <c r="C5" s="28" t="s">
        <v>33</v>
      </c>
      <c r="D5" s="40">
        <v>20</v>
      </c>
      <c r="E5" s="40">
        <v>40</v>
      </c>
      <c r="F5" s="40">
        <v>100</v>
      </c>
      <c r="G5" s="40">
        <v>50</v>
      </c>
      <c r="H5" s="40">
        <v>200</v>
      </c>
      <c r="I5" s="40">
        <v>100</v>
      </c>
      <c r="J5" s="40">
        <v>100</v>
      </c>
      <c r="K5" s="40">
        <v>60</v>
      </c>
      <c r="L5" s="220" t="s">
        <v>150</v>
      </c>
      <c r="M5" s="41"/>
      <c r="N5" s="41"/>
      <c r="Y5" s="274">
        <v>3</v>
      </c>
      <c r="Z5" s="37" t="s">
        <v>406</v>
      </c>
      <c r="AA5" s="39"/>
      <c r="AB5" s="39"/>
      <c r="AC5" s="39" t="s">
        <v>33</v>
      </c>
      <c r="AD5" s="37">
        <v>1.1</v>
      </c>
      <c r="AE5" s="276"/>
    </row>
    <row r="6" spans="2:31" ht="15.75">
      <c r="B6" s="219"/>
      <c r="C6" s="28" t="s">
        <v>34</v>
      </c>
      <c r="D6" s="40">
        <v>20</v>
      </c>
      <c r="E6" s="40">
        <v>40</v>
      </c>
      <c r="F6" s="40">
        <v>100</v>
      </c>
      <c r="G6" s="40">
        <v>50</v>
      </c>
      <c r="H6" s="40">
        <v>200</v>
      </c>
      <c r="I6" s="40">
        <v>100</v>
      </c>
      <c r="J6" s="40">
        <v>50</v>
      </c>
      <c r="K6" s="40">
        <v>60</v>
      </c>
      <c r="L6" s="220" t="s">
        <v>150</v>
      </c>
      <c r="M6" s="41"/>
      <c r="Y6" s="274">
        <v>4</v>
      </c>
      <c r="Z6" s="37" t="s">
        <v>105</v>
      </c>
      <c r="AA6" s="39"/>
      <c r="AB6" s="39"/>
      <c r="AC6" s="39" t="s">
        <v>34</v>
      </c>
      <c r="AD6" s="37">
        <v>0</v>
      </c>
      <c r="AE6" s="276"/>
    </row>
    <row r="7" spans="2:31" ht="15.75">
      <c r="B7" s="219"/>
      <c r="C7" s="28" t="s">
        <v>35</v>
      </c>
      <c r="D7" s="40">
        <v>20</v>
      </c>
      <c r="E7" s="40">
        <v>40</v>
      </c>
      <c r="F7" s="40">
        <v>100</v>
      </c>
      <c r="G7" s="40">
        <v>50</v>
      </c>
      <c r="H7" s="40">
        <v>200</v>
      </c>
      <c r="I7" s="40">
        <v>100</v>
      </c>
      <c r="J7" s="40">
        <v>50</v>
      </c>
      <c r="K7" s="40">
        <v>60</v>
      </c>
      <c r="L7" s="220" t="s">
        <v>150</v>
      </c>
      <c r="M7" s="41"/>
      <c r="N7" s="41"/>
      <c r="O7" s="41" t="s">
        <v>2</v>
      </c>
      <c r="Y7" s="274">
        <v>5</v>
      </c>
      <c r="Z7" s="37" t="s">
        <v>107</v>
      </c>
      <c r="AA7" s="39"/>
      <c r="AB7" s="39"/>
      <c r="AC7" s="39" t="s">
        <v>35</v>
      </c>
      <c r="AD7" s="37">
        <v>0</v>
      </c>
      <c r="AE7" s="276"/>
    </row>
    <row r="8" spans="2:31" ht="15.75">
      <c r="B8" s="221"/>
      <c r="C8" s="47" t="s">
        <v>36</v>
      </c>
      <c r="D8" s="222">
        <f aca="true" t="shared" si="0" ref="D8:K8">AVERAGE(D4:D7)</f>
        <v>20</v>
      </c>
      <c r="E8" s="222">
        <f t="shared" si="0"/>
        <v>40</v>
      </c>
      <c r="F8" s="222">
        <f t="shared" si="0"/>
        <v>100</v>
      </c>
      <c r="G8" s="222">
        <f t="shared" si="0"/>
        <v>50</v>
      </c>
      <c r="H8" s="222">
        <f t="shared" si="0"/>
        <v>200</v>
      </c>
      <c r="I8" s="222">
        <f t="shared" si="0"/>
        <v>100</v>
      </c>
      <c r="J8" s="222">
        <f t="shared" si="0"/>
        <v>75</v>
      </c>
      <c r="K8" s="222">
        <f t="shared" si="0"/>
        <v>60</v>
      </c>
      <c r="L8" s="223" t="s">
        <v>150</v>
      </c>
      <c r="M8" s="41"/>
      <c r="P8" s="315">
        <v>6</v>
      </c>
      <c r="Y8" s="274">
        <v>6</v>
      </c>
      <c r="Z8" s="37" t="s">
        <v>108</v>
      </c>
      <c r="AA8" s="39">
        <v>8</v>
      </c>
      <c r="AB8" s="39" t="s">
        <v>106</v>
      </c>
      <c r="AC8" s="39" t="s">
        <v>32</v>
      </c>
      <c r="AD8" s="37">
        <v>1.3</v>
      </c>
      <c r="AE8" s="276"/>
    </row>
    <row r="9" spans="2:31" ht="15.75">
      <c r="B9" s="29"/>
      <c r="C9" s="28"/>
      <c r="D9" s="28"/>
      <c r="E9" s="28"/>
      <c r="F9" s="28"/>
      <c r="G9" s="28"/>
      <c r="H9" s="28"/>
      <c r="I9" s="28"/>
      <c r="J9" s="28"/>
      <c r="K9" s="28"/>
      <c r="L9" s="30"/>
      <c r="O9" s="37" t="s">
        <v>128</v>
      </c>
      <c r="Y9" s="274">
        <v>7</v>
      </c>
      <c r="Z9" s="37" t="s">
        <v>109</v>
      </c>
      <c r="AA9" s="39"/>
      <c r="AB9" s="39"/>
      <c r="AC9" s="39" t="s">
        <v>33</v>
      </c>
      <c r="AD9" s="37">
        <v>1.1</v>
      </c>
      <c r="AE9" s="276"/>
    </row>
    <row r="10" spans="2:31" ht="15.75">
      <c r="B10" s="216" t="s">
        <v>64</v>
      </c>
      <c r="C10" s="46" t="s">
        <v>32</v>
      </c>
      <c r="D10" s="217">
        <v>820</v>
      </c>
      <c r="E10" s="217">
        <v>250</v>
      </c>
      <c r="F10" s="217">
        <v>240</v>
      </c>
      <c r="G10" s="217">
        <v>410</v>
      </c>
      <c r="H10" s="217">
        <v>560</v>
      </c>
      <c r="I10" s="217">
        <v>240</v>
      </c>
      <c r="J10" s="217">
        <v>240</v>
      </c>
      <c r="K10" s="217">
        <v>510</v>
      </c>
      <c r="L10" s="218" t="s">
        <v>431</v>
      </c>
      <c r="O10" s="307" t="s">
        <v>416</v>
      </c>
      <c r="P10" s="37" t="s">
        <v>127</v>
      </c>
      <c r="Y10" s="274">
        <v>8</v>
      </c>
      <c r="Z10" s="37" t="s">
        <v>104</v>
      </c>
      <c r="AA10" s="39"/>
      <c r="AB10" s="39"/>
      <c r="AC10" s="39" t="s">
        <v>34</v>
      </c>
      <c r="AD10" s="37">
        <v>0</v>
      </c>
      <c r="AE10" s="276"/>
    </row>
    <row r="11" spans="2:31" ht="15.75">
      <c r="B11" s="219"/>
      <c r="C11" s="28" t="s">
        <v>33</v>
      </c>
      <c r="D11" s="40">
        <v>850</v>
      </c>
      <c r="E11" s="40">
        <v>280</v>
      </c>
      <c r="F11" s="40">
        <v>270</v>
      </c>
      <c r="G11" s="40">
        <v>440</v>
      </c>
      <c r="H11" s="40">
        <v>550</v>
      </c>
      <c r="I11" s="40">
        <v>260</v>
      </c>
      <c r="J11" s="40">
        <v>50</v>
      </c>
      <c r="K11" s="40">
        <v>520</v>
      </c>
      <c r="L11" s="220" t="s">
        <v>431</v>
      </c>
      <c r="Y11" s="274">
        <v>9</v>
      </c>
      <c r="Z11" s="37" t="s">
        <v>103</v>
      </c>
      <c r="AA11" s="39"/>
      <c r="AB11" s="39"/>
      <c r="AC11" s="39" t="s">
        <v>35</v>
      </c>
      <c r="AD11" s="37">
        <v>0</v>
      </c>
      <c r="AE11" s="276"/>
    </row>
    <row r="12" spans="2:31" ht="15.75">
      <c r="B12" s="219"/>
      <c r="C12" s="28" t="s">
        <v>34</v>
      </c>
      <c r="D12" s="40">
        <v>700</v>
      </c>
      <c r="E12" s="40">
        <v>100</v>
      </c>
      <c r="F12" s="40">
        <v>95</v>
      </c>
      <c r="G12" s="40">
        <v>300</v>
      </c>
      <c r="H12" s="40">
        <v>450</v>
      </c>
      <c r="I12" s="40">
        <v>95</v>
      </c>
      <c r="J12" s="40">
        <v>95</v>
      </c>
      <c r="K12" s="40">
        <v>410</v>
      </c>
      <c r="L12" s="220" t="s">
        <v>431</v>
      </c>
      <c r="N12" s="37" t="s">
        <v>350</v>
      </c>
      <c r="Y12" s="274"/>
      <c r="AA12" s="39">
        <v>12</v>
      </c>
      <c r="AB12" s="39" t="s">
        <v>316</v>
      </c>
      <c r="AC12" s="39" t="s">
        <v>32</v>
      </c>
      <c r="AD12" s="37">
        <v>0</v>
      </c>
      <c r="AE12" s="276"/>
    </row>
    <row r="13" spans="2:31" ht="15.75">
      <c r="B13" s="219"/>
      <c r="C13" s="28" t="s">
        <v>35</v>
      </c>
      <c r="D13" s="40">
        <v>720</v>
      </c>
      <c r="E13" s="40">
        <v>150</v>
      </c>
      <c r="F13" s="40">
        <v>140</v>
      </c>
      <c r="G13" s="40">
        <v>320</v>
      </c>
      <c r="H13" s="40">
        <v>470</v>
      </c>
      <c r="I13" s="40">
        <v>140</v>
      </c>
      <c r="J13" s="40">
        <v>140</v>
      </c>
      <c r="K13" s="40">
        <v>440</v>
      </c>
      <c r="L13" s="220" t="s">
        <v>431</v>
      </c>
      <c r="Y13" s="274"/>
      <c r="AA13" s="39"/>
      <c r="AB13" s="39"/>
      <c r="AC13" s="39" t="s">
        <v>33</v>
      </c>
      <c r="AD13" s="37">
        <v>0</v>
      </c>
      <c r="AE13" s="276"/>
    </row>
    <row r="14" spans="2:31" ht="15.75">
      <c r="B14" s="221"/>
      <c r="C14" s="47" t="s">
        <v>36</v>
      </c>
      <c r="D14" s="224">
        <f aca="true" t="shared" si="1" ref="D14:K14">AVERAGE(D10:D13)</f>
        <v>772.5</v>
      </c>
      <c r="E14" s="224">
        <f t="shared" si="1"/>
        <v>195</v>
      </c>
      <c r="F14" s="224">
        <f t="shared" si="1"/>
        <v>186.25</v>
      </c>
      <c r="G14" s="224">
        <f t="shared" si="1"/>
        <v>367.5</v>
      </c>
      <c r="H14" s="224">
        <f t="shared" si="1"/>
        <v>507.5</v>
      </c>
      <c r="I14" s="224">
        <f t="shared" si="1"/>
        <v>183.75</v>
      </c>
      <c r="J14" s="224">
        <f t="shared" si="1"/>
        <v>131.25</v>
      </c>
      <c r="K14" s="224">
        <f t="shared" si="1"/>
        <v>470</v>
      </c>
      <c r="L14" s="223" t="s">
        <v>431</v>
      </c>
      <c r="Y14" s="274"/>
      <c r="AA14" s="39"/>
      <c r="AB14" s="39"/>
      <c r="AC14" s="39" t="s">
        <v>34</v>
      </c>
      <c r="AD14" s="37">
        <v>1.3</v>
      </c>
      <c r="AE14" s="276"/>
    </row>
    <row r="15" spans="2:31" ht="15.75">
      <c r="B15" s="29"/>
      <c r="C15" s="28"/>
      <c r="D15" s="28"/>
      <c r="E15" s="28"/>
      <c r="F15" s="28"/>
      <c r="G15" s="28"/>
      <c r="H15" s="28"/>
      <c r="I15" s="28"/>
      <c r="J15" s="28"/>
      <c r="K15" s="28"/>
      <c r="L15" s="28"/>
      <c r="Y15" s="274"/>
      <c r="AA15" s="39"/>
      <c r="AB15" s="39"/>
      <c r="AC15" s="39" t="s">
        <v>35</v>
      </c>
      <c r="AD15" s="37">
        <v>1.1</v>
      </c>
      <c r="AE15" s="276"/>
    </row>
    <row r="16" spans="2:31" ht="15.75">
      <c r="B16" s="216" t="s">
        <v>0</v>
      </c>
      <c r="C16" s="46" t="s">
        <v>32</v>
      </c>
      <c r="D16" s="217">
        <v>1.1</v>
      </c>
      <c r="E16" s="225">
        <v>1.1</v>
      </c>
      <c r="F16" s="217">
        <v>1.1</v>
      </c>
      <c r="G16" s="217">
        <v>0.99</v>
      </c>
      <c r="H16" s="217">
        <v>0.99</v>
      </c>
      <c r="I16" s="217">
        <v>1.1</v>
      </c>
      <c r="J16" s="217">
        <v>1.1</v>
      </c>
      <c r="K16" s="217">
        <v>0.77</v>
      </c>
      <c r="L16" s="218" t="s">
        <v>152</v>
      </c>
      <c r="Y16" s="274"/>
      <c r="AA16" s="39">
        <v>16</v>
      </c>
      <c r="AB16" s="39" t="s">
        <v>105</v>
      </c>
      <c r="AC16" s="39" t="s">
        <v>32</v>
      </c>
      <c r="AD16" s="37">
        <v>0</v>
      </c>
      <c r="AE16" s="276"/>
    </row>
    <row r="17" spans="2:31" ht="15.75">
      <c r="B17" s="219"/>
      <c r="C17" s="28" t="s">
        <v>33</v>
      </c>
      <c r="D17" s="43">
        <v>0.33</v>
      </c>
      <c r="E17" s="43">
        <v>0.33</v>
      </c>
      <c r="F17" s="43">
        <v>0.33</v>
      </c>
      <c r="G17" s="43">
        <v>0.33</v>
      </c>
      <c r="H17" s="43">
        <v>-0.1</v>
      </c>
      <c r="I17" s="43">
        <v>0.22</v>
      </c>
      <c r="J17" s="43">
        <v>0.22</v>
      </c>
      <c r="K17" s="43">
        <v>0.11</v>
      </c>
      <c r="L17" s="220" t="s">
        <v>152</v>
      </c>
      <c r="Y17" s="274"/>
      <c r="AB17" s="39"/>
      <c r="AC17" s="39" t="s">
        <v>33</v>
      </c>
      <c r="AD17" s="37">
        <v>0</v>
      </c>
      <c r="AE17" s="276"/>
    </row>
    <row r="18" spans="2:31" ht="15.75">
      <c r="B18" s="219"/>
      <c r="C18" s="28" t="s">
        <v>34</v>
      </c>
      <c r="D18" s="43">
        <v>0.2</v>
      </c>
      <c r="E18" s="43">
        <v>0.5</v>
      </c>
      <c r="F18" s="43">
        <v>0.55</v>
      </c>
      <c r="G18" s="43">
        <v>0.44</v>
      </c>
      <c r="H18" s="43">
        <v>0.2</v>
      </c>
      <c r="I18" s="43">
        <v>0.55</v>
      </c>
      <c r="J18" s="43">
        <v>0.55</v>
      </c>
      <c r="K18" s="43">
        <v>0.2</v>
      </c>
      <c r="L18" s="220" t="s">
        <v>152</v>
      </c>
      <c r="Y18" s="274"/>
      <c r="AB18" s="39"/>
      <c r="AC18" s="39" t="s">
        <v>34</v>
      </c>
      <c r="AD18" s="37">
        <v>1.3</v>
      </c>
      <c r="AE18" s="276"/>
    </row>
    <row r="19" spans="2:31" ht="15.75">
      <c r="B19" s="219"/>
      <c r="C19" s="28" t="s">
        <v>35</v>
      </c>
      <c r="D19" s="43">
        <v>0.22</v>
      </c>
      <c r="E19" s="43">
        <v>0.55</v>
      </c>
      <c r="F19" s="43">
        <v>0.49</v>
      </c>
      <c r="G19" s="43">
        <v>0.22</v>
      </c>
      <c r="H19" s="43">
        <v>0.22</v>
      </c>
      <c r="I19" s="43">
        <v>0.49</v>
      </c>
      <c r="J19" s="43">
        <v>0.49</v>
      </c>
      <c r="K19" s="43">
        <v>0.33</v>
      </c>
      <c r="L19" s="220" t="s">
        <v>152</v>
      </c>
      <c r="Y19" s="274"/>
      <c r="AB19" s="39"/>
      <c r="AC19" s="39" t="s">
        <v>35</v>
      </c>
      <c r="AD19" s="37">
        <v>1.1</v>
      </c>
      <c r="AE19" s="276"/>
    </row>
    <row r="20" spans="2:31" ht="15.75">
      <c r="B20" s="221"/>
      <c r="C20" s="47"/>
      <c r="D20" s="226">
        <f>AVERAGE(D16:D19)</f>
        <v>0.4625</v>
      </c>
      <c r="E20" s="226">
        <f aca="true" t="shared" si="2" ref="E20:K20">AVERAGE(E16:E19)</f>
        <v>0.6200000000000001</v>
      </c>
      <c r="F20" s="226">
        <f t="shared" si="2"/>
        <v>0.6175</v>
      </c>
      <c r="G20" s="226">
        <f t="shared" si="2"/>
        <v>0.495</v>
      </c>
      <c r="H20" s="226">
        <f t="shared" si="2"/>
        <v>0.3275</v>
      </c>
      <c r="I20" s="226">
        <f t="shared" si="2"/>
        <v>0.5900000000000001</v>
      </c>
      <c r="J20" s="226">
        <f t="shared" si="2"/>
        <v>0.5900000000000001</v>
      </c>
      <c r="K20" s="226">
        <f t="shared" si="2"/>
        <v>0.35250000000000004</v>
      </c>
      <c r="L20" s="223" t="s">
        <v>152</v>
      </c>
      <c r="Y20" s="274"/>
      <c r="AA20" s="39">
        <v>20</v>
      </c>
      <c r="AB20" s="39" t="s">
        <v>107</v>
      </c>
      <c r="AC20" s="39" t="s">
        <v>32</v>
      </c>
      <c r="AD20" s="37">
        <v>0</v>
      </c>
      <c r="AE20" s="276"/>
    </row>
    <row r="21" spans="2:31" ht="15.75">
      <c r="B21" s="29"/>
      <c r="C21" s="28"/>
      <c r="D21" s="28"/>
      <c r="E21" s="28"/>
      <c r="F21" s="28"/>
      <c r="G21" s="28"/>
      <c r="H21" s="28"/>
      <c r="I21" s="28"/>
      <c r="J21" s="28"/>
      <c r="K21" s="28"/>
      <c r="L21" s="28"/>
      <c r="Y21" s="274"/>
      <c r="AB21" s="39"/>
      <c r="AC21" s="39" t="s">
        <v>33</v>
      </c>
      <c r="AD21" s="37">
        <v>0</v>
      </c>
      <c r="AE21" s="276"/>
    </row>
    <row r="22" spans="2:31" ht="15.75">
      <c r="B22" s="216" t="s">
        <v>439</v>
      </c>
      <c r="C22" s="46" t="s">
        <v>32</v>
      </c>
      <c r="D22" s="217">
        <v>25</v>
      </c>
      <c r="E22" s="217">
        <v>25</v>
      </c>
      <c r="F22" s="217">
        <v>25</v>
      </c>
      <c r="G22" s="217">
        <v>25</v>
      </c>
      <c r="H22" s="217">
        <v>25</v>
      </c>
      <c r="I22" s="217">
        <v>25</v>
      </c>
      <c r="J22" s="217">
        <v>25</v>
      </c>
      <c r="K22" s="217">
        <v>25</v>
      </c>
      <c r="L22" s="218" t="s">
        <v>88</v>
      </c>
      <c r="Y22" s="274"/>
      <c r="AB22" s="39"/>
      <c r="AC22" s="39" t="s">
        <v>34</v>
      </c>
      <c r="AD22" s="37">
        <v>1.3</v>
      </c>
      <c r="AE22" s="276"/>
    </row>
    <row r="23" spans="2:31" ht="15.75">
      <c r="B23" s="219"/>
      <c r="C23" s="28"/>
      <c r="D23" s="40">
        <v>7</v>
      </c>
      <c r="E23" s="40">
        <v>7</v>
      </c>
      <c r="F23" s="40">
        <v>7</v>
      </c>
      <c r="G23" s="40">
        <v>7</v>
      </c>
      <c r="H23" s="40">
        <v>7</v>
      </c>
      <c r="I23" s="40">
        <v>7</v>
      </c>
      <c r="J23" s="40">
        <v>7</v>
      </c>
      <c r="K23" s="40">
        <v>7</v>
      </c>
      <c r="L23" s="220" t="s">
        <v>88</v>
      </c>
      <c r="Y23" s="274"/>
      <c r="AB23" s="39"/>
      <c r="AC23" s="39" t="s">
        <v>35</v>
      </c>
      <c r="AD23" s="37">
        <v>1.1</v>
      </c>
      <c r="AE23" s="276"/>
    </row>
    <row r="24" spans="2:31" ht="15.75">
      <c r="B24" s="219"/>
      <c r="C24" s="28" t="s">
        <v>34</v>
      </c>
      <c r="D24" s="40">
        <v>10</v>
      </c>
      <c r="E24" s="40">
        <v>10</v>
      </c>
      <c r="F24" s="40">
        <v>10</v>
      </c>
      <c r="G24" s="40">
        <v>10</v>
      </c>
      <c r="H24" s="40">
        <v>10</v>
      </c>
      <c r="I24" s="40">
        <v>10</v>
      </c>
      <c r="J24" s="40">
        <v>10</v>
      </c>
      <c r="K24" s="40">
        <v>10</v>
      </c>
      <c r="L24" s="220" t="s">
        <v>88</v>
      </c>
      <c r="Y24" s="274"/>
      <c r="AA24" s="39">
        <v>24</v>
      </c>
      <c r="AB24" s="39" t="s">
        <v>108</v>
      </c>
      <c r="AC24" s="39" t="s">
        <v>32</v>
      </c>
      <c r="AD24" s="37">
        <v>1.3</v>
      </c>
      <c r="AE24" s="276"/>
    </row>
    <row r="25" spans="2:31" ht="15.75">
      <c r="B25" s="219"/>
      <c r="C25" s="28" t="s">
        <v>35</v>
      </c>
      <c r="D25" s="40">
        <v>21</v>
      </c>
      <c r="E25" s="40">
        <v>21</v>
      </c>
      <c r="F25" s="40">
        <v>21</v>
      </c>
      <c r="G25" s="40">
        <v>21</v>
      </c>
      <c r="H25" s="40">
        <v>21</v>
      </c>
      <c r="I25" s="40">
        <v>21</v>
      </c>
      <c r="J25" s="40">
        <v>21</v>
      </c>
      <c r="K25" s="40">
        <v>21</v>
      </c>
      <c r="L25" s="220" t="s">
        <v>88</v>
      </c>
      <c r="Y25" s="274"/>
      <c r="AA25" s="39"/>
      <c r="AB25" s="39"/>
      <c r="AC25" s="39" t="s">
        <v>33</v>
      </c>
      <c r="AD25" s="37">
        <v>1.1</v>
      </c>
      <c r="AE25" s="276"/>
    </row>
    <row r="26" spans="2:31" ht="15.75">
      <c r="B26" s="221"/>
      <c r="C26" s="47" t="s">
        <v>36</v>
      </c>
      <c r="D26" s="224">
        <f aca="true" t="shared" si="3" ref="D26:K26">AVERAGE(D22:D25)</f>
        <v>15.75</v>
      </c>
      <c r="E26" s="224">
        <f t="shared" si="3"/>
        <v>15.75</v>
      </c>
      <c r="F26" s="224">
        <f t="shared" si="3"/>
        <v>15.75</v>
      </c>
      <c r="G26" s="224">
        <f t="shared" si="3"/>
        <v>15.75</v>
      </c>
      <c r="H26" s="224">
        <f t="shared" si="3"/>
        <v>15.75</v>
      </c>
      <c r="I26" s="224">
        <f t="shared" si="3"/>
        <v>15.75</v>
      </c>
      <c r="J26" s="224">
        <f t="shared" si="3"/>
        <v>15.75</v>
      </c>
      <c r="K26" s="224">
        <f t="shared" si="3"/>
        <v>15.75</v>
      </c>
      <c r="L26" s="223" t="s">
        <v>88</v>
      </c>
      <c r="Y26" s="274"/>
      <c r="AA26" s="39"/>
      <c r="AB26" s="39"/>
      <c r="AC26" s="39" t="s">
        <v>34</v>
      </c>
      <c r="AD26" s="37">
        <v>0</v>
      </c>
      <c r="AE26" s="276"/>
    </row>
    <row r="27" spans="2:31" ht="15.75">
      <c r="B27" s="29"/>
      <c r="C27" s="28"/>
      <c r="D27" s="28"/>
      <c r="E27" s="28"/>
      <c r="F27" s="28"/>
      <c r="G27" s="28"/>
      <c r="H27" s="28"/>
      <c r="I27" s="28"/>
      <c r="J27" s="28"/>
      <c r="K27" s="28"/>
      <c r="L27" s="28"/>
      <c r="Y27" s="274"/>
      <c r="AA27" s="39"/>
      <c r="AB27" s="39"/>
      <c r="AC27" s="39" t="s">
        <v>35</v>
      </c>
      <c r="AD27" s="37">
        <v>0</v>
      </c>
      <c r="AE27" s="276"/>
    </row>
    <row r="28" spans="2:31" ht="15.75">
      <c r="B28" s="216" t="s">
        <v>435</v>
      </c>
      <c r="C28" s="46" t="s">
        <v>32</v>
      </c>
      <c r="D28" s="217">
        <v>80</v>
      </c>
      <c r="E28" s="217">
        <v>80</v>
      </c>
      <c r="F28" s="217">
        <v>80</v>
      </c>
      <c r="G28" s="217">
        <v>80</v>
      </c>
      <c r="H28" s="217">
        <v>80</v>
      </c>
      <c r="I28" s="217">
        <v>80</v>
      </c>
      <c r="J28" s="217">
        <v>80</v>
      </c>
      <c r="K28" s="217">
        <v>80</v>
      </c>
      <c r="L28" s="218" t="s">
        <v>88</v>
      </c>
      <c r="Y28" s="274"/>
      <c r="AA28" s="39">
        <v>28</v>
      </c>
      <c r="AB28" s="39" t="s">
        <v>109</v>
      </c>
      <c r="AC28" s="39" t="s">
        <v>32</v>
      </c>
      <c r="AD28" s="37">
        <v>0</v>
      </c>
      <c r="AE28" s="276"/>
    </row>
    <row r="29" spans="2:31" ht="15.75">
      <c r="B29" s="219"/>
      <c r="C29" s="28" t="s">
        <v>33</v>
      </c>
      <c r="D29" s="40">
        <v>55</v>
      </c>
      <c r="E29" s="40">
        <v>55</v>
      </c>
      <c r="F29" s="40">
        <v>55</v>
      </c>
      <c r="G29" s="40">
        <v>55</v>
      </c>
      <c r="H29" s="40">
        <v>55</v>
      </c>
      <c r="I29" s="40">
        <v>55</v>
      </c>
      <c r="J29" s="40">
        <v>55</v>
      </c>
      <c r="K29" s="40">
        <v>55</v>
      </c>
      <c r="L29" s="220" t="s">
        <v>88</v>
      </c>
      <c r="Y29" s="274"/>
      <c r="AA29" s="39"/>
      <c r="AB29" s="39"/>
      <c r="AC29" s="39" t="s">
        <v>33</v>
      </c>
      <c r="AD29" s="37">
        <v>1.3</v>
      </c>
      <c r="AE29" s="276"/>
    </row>
    <row r="30" spans="2:31" ht="15.75">
      <c r="B30" s="219"/>
      <c r="C30" s="28" t="s">
        <v>34</v>
      </c>
      <c r="D30" s="40">
        <v>60</v>
      </c>
      <c r="E30" s="40">
        <v>60</v>
      </c>
      <c r="F30" s="40">
        <v>60</v>
      </c>
      <c r="G30" s="40">
        <v>60</v>
      </c>
      <c r="H30" s="40">
        <v>60</v>
      </c>
      <c r="I30" s="40">
        <v>60</v>
      </c>
      <c r="J30" s="40">
        <v>60</v>
      </c>
      <c r="K30" s="40">
        <v>60</v>
      </c>
      <c r="L30" s="220" t="s">
        <v>88</v>
      </c>
      <c r="Y30" s="274"/>
      <c r="AA30" s="39"/>
      <c r="AB30" s="39"/>
      <c r="AC30" s="39" t="s">
        <v>34</v>
      </c>
      <c r="AD30" s="37">
        <v>1.1</v>
      </c>
      <c r="AE30" s="276"/>
    </row>
    <row r="31" spans="2:31" ht="15.75">
      <c r="B31" s="219"/>
      <c r="C31" s="28" t="s">
        <v>35</v>
      </c>
      <c r="D31" s="40">
        <v>76</v>
      </c>
      <c r="E31" s="40">
        <v>76</v>
      </c>
      <c r="F31" s="40">
        <v>76</v>
      </c>
      <c r="G31" s="40">
        <v>76</v>
      </c>
      <c r="H31" s="40">
        <v>76</v>
      </c>
      <c r="I31" s="40">
        <v>76</v>
      </c>
      <c r="J31" s="40">
        <v>76</v>
      </c>
      <c r="K31" s="40">
        <v>76</v>
      </c>
      <c r="L31" s="220" t="s">
        <v>88</v>
      </c>
      <c r="O31" s="37" t="s">
        <v>402</v>
      </c>
      <c r="Y31" s="274"/>
      <c r="AA31" s="39"/>
      <c r="AB31" s="39"/>
      <c r="AC31" s="39" t="s">
        <v>35</v>
      </c>
      <c r="AD31" s="37">
        <v>0</v>
      </c>
      <c r="AE31" s="276"/>
    </row>
    <row r="32" spans="2:31" ht="15.75">
      <c r="B32" s="221"/>
      <c r="C32" s="47" t="s">
        <v>36</v>
      </c>
      <c r="D32" s="224">
        <f>AVERAGE(D28:D31)</f>
        <v>67.75</v>
      </c>
      <c r="E32" s="224">
        <f aca="true" t="shared" si="4" ref="E32:K32">AVERAGE(E28:E31)</f>
        <v>67.75</v>
      </c>
      <c r="F32" s="224">
        <f t="shared" si="4"/>
        <v>67.75</v>
      </c>
      <c r="G32" s="224">
        <f t="shared" si="4"/>
        <v>67.75</v>
      </c>
      <c r="H32" s="224">
        <f t="shared" si="4"/>
        <v>67.75</v>
      </c>
      <c r="I32" s="224">
        <f t="shared" si="4"/>
        <v>67.75</v>
      </c>
      <c r="J32" s="224">
        <f t="shared" si="4"/>
        <v>67.75</v>
      </c>
      <c r="K32" s="224">
        <f t="shared" si="4"/>
        <v>67.75</v>
      </c>
      <c r="L32" s="223" t="s">
        <v>88</v>
      </c>
      <c r="O32" s="40">
        <v>2</v>
      </c>
      <c r="Y32" s="274"/>
      <c r="AA32" s="39">
        <v>32</v>
      </c>
      <c r="AB32" s="39" t="s">
        <v>104</v>
      </c>
      <c r="AC32" s="39" t="s">
        <v>32</v>
      </c>
      <c r="AD32" s="37">
        <v>0</v>
      </c>
      <c r="AE32" s="276"/>
    </row>
    <row r="33" spans="2:31" ht="15.75">
      <c r="B33" s="29"/>
      <c r="C33" s="28"/>
      <c r="D33" s="28"/>
      <c r="E33" s="28"/>
      <c r="F33" s="28"/>
      <c r="G33" s="28"/>
      <c r="H33" s="28"/>
      <c r="I33" s="28"/>
      <c r="J33" s="28"/>
      <c r="K33" s="28"/>
      <c r="L33" s="28"/>
      <c r="Y33" s="274"/>
      <c r="AA33" s="39"/>
      <c r="AB33" s="39"/>
      <c r="AC33" s="39" t="s">
        <v>33</v>
      </c>
      <c r="AD33" s="37">
        <v>1.3</v>
      </c>
      <c r="AE33" s="276"/>
    </row>
    <row r="34" spans="2:31" ht="15.75">
      <c r="B34" s="216" t="s">
        <v>21</v>
      </c>
      <c r="C34" s="217">
        <v>10</v>
      </c>
      <c r="D34" s="46"/>
      <c r="E34" s="46"/>
      <c r="F34" s="46"/>
      <c r="G34" s="46"/>
      <c r="H34" s="46"/>
      <c r="I34" s="46"/>
      <c r="J34" s="46"/>
      <c r="K34" s="46"/>
      <c r="L34" s="228" t="s">
        <v>23</v>
      </c>
      <c r="O34" s="37" t="s">
        <v>403</v>
      </c>
      <c r="Y34" s="274"/>
      <c r="AA34" s="39"/>
      <c r="AB34" s="39"/>
      <c r="AC34" s="39" t="s">
        <v>34</v>
      </c>
      <c r="AD34" s="37">
        <v>1.1</v>
      </c>
      <c r="AE34" s="276"/>
    </row>
    <row r="35" spans="2:31" ht="15.75">
      <c r="B35" s="221" t="s">
        <v>22</v>
      </c>
      <c r="C35" s="233">
        <v>400</v>
      </c>
      <c r="D35" s="47"/>
      <c r="E35" s="47"/>
      <c r="F35" s="47"/>
      <c r="G35" s="47"/>
      <c r="H35" s="47"/>
      <c r="I35" s="47"/>
      <c r="J35" s="47"/>
      <c r="K35" s="47"/>
      <c r="L35" s="229" t="s">
        <v>23</v>
      </c>
      <c r="O35" s="40">
        <v>9</v>
      </c>
      <c r="Y35" s="274"/>
      <c r="AA35" s="39"/>
      <c r="AB35" s="39"/>
      <c r="AC35" s="39" t="s">
        <v>35</v>
      </c>
      <c r="AD35" s="37">
        <v>0</v>
      </c>
      <c r="AE35" s="276"/>
    </row>
    <row r="36" spans="2:31" ht="15.75">
      <c r="B36" s="29"/>
      <c r="C36" s="28"/>
      <c r="D36" s="28"/>
      <c r="E36" s="28"/>
      <c r="F36" s="28"/>
      <c r="G36" s="28"/>
      <c r="H36" s="28"/>
      <c r="I36" s="28"/>
      <c r="J36" s="28"/>
      <c r="K36" s="28"/>
      <c r="L36" s="30"/>
      <c r="Y36" s="274"/>
      <c r="AA36" s="39">
        <v>36</v>
      </c>
      <c r="AB36" s="39" t="s">
        <v>103</v>
      </c>
      <c r="AC36" s="39" t="s">
        <v>32</v>
      </c>
      <c r="AD36" s="37">
        <v>1.3</v>
      </c>
      <c r="AE36" s="276"/>
    </row>
    <row r="37" spans="2:31" ht="15.75">
      <c r="B37" s="216" t="s">
        <v>120</v>
      </c>
      <c r="C37" s="46" t="s">
        <v>32</v>
      </c>
      <c r="D37" s="217">
        <v>0</v>
      </c>
      <c r="E37" s="46"/>
      <c r="F37" s="46"/>
      <c r="G37" s="46"/>
      <c r="H37" s="46"/>
      <c r="I37" s="46"/>
      <c r="J37" s="46"/>
      <c r="K37" s="46"/>
      <c r="L37" s="230" t="s">
        <v>428</v>
      </c>
      <c r="O37" s="37" t="s">
        <v>404</v>
      </c>
      <c r="Y37" s="274"/>
      <c r="AA37" s="39"/>
      <c r="AB37" s="39"/>
      <c r="AC37" s="39" t="s">
        <v>33</v>
      </c>
      <c r="AD37" s="37">
        <v>1.1</v>
      </c>
      <c r="AE37" s="276"/>
    </row>
    <row r="38" spans="2:31" ht="15.75">
      <c r="B38" s="219"/>
      <c r="C38" s="28" t="s">
        <v>33</v>
      </c>
      <c r="D38" s="40">
        <v>0</v>
      </c>
      <c r="E38" s="28"/>
      <c r="F38" s="28"/>
      <c r="G38" s="28"/>
      <c r="H38" s="28"/>
      <c r="I38" s="28"/>
      <c r="J38" s="28"/>
      <c r="K38" s="28"/>
      <c r="L38" s="231" t="s">
        <v>428</v>
      </c>
      <c r="O38" s="40">
        <v>3</v>
      </c>
      <c r="Y38" s="274"/>
      <c r="AA38" s="39"/>
      <c r="AB38" s="39"/>
      <c r="AC38" s="39" t="s">
        <v>34</v>
      </c>
      <c r="AD38" s="37">
        <v>0</v>
      </c>
      <c r="AE38" s="276"/>
    </row>
    <row r="39" spans="2:31" ht="15.75">
      <c r="B39" s="219"/>
      <c r="C39" s="28" t="s">
        <v>34</v>
      </c>
      <c r="D39" s="40">
        <v>0</v>
      </c>
      <c r="E39" s="28"/>
      <c r="F39" s="28"/>
      <c r="G39" s="28"/>
      <c r="H39" s="28"/>
      <c r="I39" s="28"/>
      <c r="J39" s="28"/>
      <c r="K39" s="28"/>
      <c r="L39" s="231" t="s">
        <v>428</v>
      </c>
      <c r="Y39" s="277"/>
      <c r="Z39" s="149"/>
      <c r="AA39" s="278"/>
      <c r="AB39" s="278"/>
      <c r="AC39" s="278" t="s">
        <v>35</v>
      </c>
      <c r="AD39" s="149">
        <v>0</v>
      </c>
      <c r="AE39" s="279"/>
    </row>
    <row r="40" spans="2:12" ht="15.75">
      <c r="B40" s="219"/>
      <c r="C40" s="28" t="s">
        <v>35</v>
      </c>
      <c r="D40" s="40">
        <v>0</v>
      </c>
      <c r="E40" s="28"/>
      <c r="F40" s="28"/>
      <c r="G40" s="28"/>
      <c r="H40" s="28"/>
      <c r="I40" s="28"/>
      <c r="J40" s="28"/>
      <c r="K40" s="28"/>
      <c r="L40" s="231" t="s">
        <v>428</v>
      </c>
    </row>
    <row r="41" spans="2:12" ht="15.75">
      <c r="B41" s="221"/>
      <c r="C41" s="47" t="s">
        <v>86</v>
      </c>
      <c r="D41" s="47">
        <f>SUM(D37:D40)</f>
        <v>0</v>
      </c>
      <c r="E41" s="47"/>
      <c r="F41" s="47"/>
      <c r="G41" s="47"/>
      <c r="H41" s="47"/>
      <c r="I41" s="47"/>
      <c r="J41" s="47"/>
      <c r="K41" s="47"/>
      <c r="L41" s="232" t="s">
        <v>428</v>
      </c>
    </row>
    <row r="42" spans="2:24" ht="15.75">
      <c r="B42" s="29"/>
      <c r="C42" s="28"/>
      <c r="D42" s="28"/>
      <c r="E42" s="28"/>
      <c r="F42" s="28"/>
      <c r="G42" s="28"/>
      <c r="H42" s="28"/>
      <c r="I42" s="28"/>
      <c r="J42" s="28"/>
      <c r="K42" s="28"/>
      <c r="L42" s="28"/>
      <c r="N42" s="39"/>
      <c r="P42" s="41"/>
      <c r="Q42" s="41"/>
      <c r="R42" s="41"/>
      <c r="S42" s="41"/>
      <c r="T42" s="41"/>
      <c r="U42" s="41"/>
      <c r="V42" s="41"/>
      <c r="W42" s="41"/>
      <c r="X42" s="340"/>
    </row>
    <row r="43" spans="2:24" ht="15.75">
      <c r="B43" s="216" t="s">
        <v>119</v>
      </c>
      <c r="C43" s="46" t="s">
        <v>32</v>
      </c>
      <c r="D43" s="217">
        <v>0</v>
      </c>
      <c r="E43" s="46"/>
      <c r="F43" s="46"/>
      <c r="G43" s="46"/>
      <c r="H43" s="46"/>
      <c r="I43" s="46"/>
      <c r="J43" s="46"/>
      <c r="K43" s="46"/>
      <c r="L43" s="230" t="s">
        <v>428</v>
      </c>
      <c r="N43" s="39"/>
      <c r="P43" s="41"/>
      <c r="Q43" s="41"/>
      <c r="R43" s="41"/>
      <c r="S43" s="41"/>
      <c r="T43" s="41"/>
      <c r="U43" s="41"/>
      <c r="V43" s="41"/>
      <c r="W43" s="41"/>
      <c r="X43" s="340"/>
    </row>
    <row r="44" spans="2:24" ht="15.75">
      <c r="B44" s="219"/>
      <c r="C44" s="28" t="s">
        <v>33</v>
      </c>
      <c r="D44" s="40">
        <v>0</v>
      </c>
      <c r="E44" s="28"/>
      <c r="F44" s="28"/>
      <c r="G44" s="28"/>
      <c r="H44" s="28"/>
      <c r="I44" s="28"/>
      <c r="J44" s="28"/>
      <c r="K44" s="28"/>
      <c r="L44" s="231" t="s">
        <v>428</v>
      </c>
      <c r="N44" s="39"/>
      <c r="P44" s="41"/>
      <c r="Q44" s="41"/>
      <c r="R44" s="41"/>
      <c r="S44" s="41"/>
      <c r="T44" s="41"/>
      <c r="U44" s="41"/>
      <c r="V44" s="41"/>
      <c r="W44" s="41"/>
      <c r="X44" s="340"/>
    </row>
    <row r="45" spans="2:24" ht="15.75">
      <c r="B45" s="219"/>
      <c r="C45" s="28" t="s">
        <v>34</v>
      </c>
      <c r="D45" s="40">
        <v>0</v>
      </c>
      <c r="E45" s="28"/>
      <c r="F45" s="28"/>
      <c r="G45" s="28"/>
      <c r="H45" s="28"/>
      <c r="I45" s="28"/>
      <c r="J45" s="28"/>
      <c r="K45" s="28"/>
      <c r="L45" s="231" t="s">
        <v>428</v>
      </c>
      <c r="N45" s="39"/>
      <c r="P45" s="41"/>
      <c r="Q45" s="41"/>
      <c r="R45" s="41"/>
      <c r="S45" s="41"/>
      <c r="T45" s="41"/>
      <c r="U45" s="41"/>
      <c r="V45" s="41"/>
      <c r="W45" s="41"/>
      <c r="X45" s="340"/>
    </row>
    <row r="46" spans="2:24" ht="15.75">
      <c r="B46" s="219"/>
      <c r="C46" s="28" t="s">
        <v>35</v>
      </c>
      <c r="D46" s="40">
        <v>0</v>
      </c>
      <c r="E46" s="28"/>
      <c r="F46" s="28"/>
      <c r="G46" s="28"/>
      <c r="H46" s="28"/>
      <c r="I46" s="28"/>
      <c r="J46" s="28"/>
      <c r="K46" s="28"/>
      <c r="L46" s="231" t="s">
        <v>428</v>
      </c>
      <c r="N46" s="39"/>
      <c r="P46" s="41"/>
      <c r="Q46" s="41"/>
      <c r="R46" s="41"/>
      <c r="S46" s="41"/>
      <c r="T46" s="41"/>
      <c r="U46" s="41"/>
      <c r="V46" s="41"/>
      <c r="W46" s="41"/>
      <c r="X46" s="340"/>
    </row>
    <row r="47" spans="2:20" ht="15.75">
      <c r="B47" s="221"/>
      <c r="C47" s="47" t="s">
        <v>86</v>
      </c>
      <c r="D47" s="47">
        <f>SUM(D43:D46)</f>
        <v>0</v>
      </c>
      <c r="E47" s="47"/>
      <c r="F47" s="47"/>
      <c r="G47" s="47"/>
      <c r="H47" s="47"/>
      <c r="I47" s="47"/>
      <c r="J47" s="47"/>
      <c r="K47" s="47"/>
      <c r="L47" s="232" t="s">
        <v>428</v>
      </c>
      <c r="O47" s="284"/>
      <c r="P47" s="284"/>
      <c r="Q47" s="284"/>
      <c r="R47" s="284"/>
      <c r="S47" s="284"/>
      <c r="T47" s="284"/>
    </row>
    <row r="48" spans="2:19" ht="15.75">
      <c r="B48" s="29"/>
      <c r="C48" s="28"/>
      <c r="D48" s="28"/>
      <c r="E48" s="28"/>
      <c r="F48" s="28"/>
      <c r="G48" s="28"/>
      <c r="H48" s="28"/>
      <c r="I48" s="28"/>
      <c r="J48" s="28"/>
      <c r="K48" s="28"/>
      <c r="L48" s="28"/>
      <c r="O48" s="284"/>
      <c r="P48" s="284"/>
      <c r="Q48" s="284"/>
      <c r="R48" s="284"/>
      <c r="S48" s="284"/>
    </row>
    <row r="49" spans="2:19" ht="15.75">
      <c r="B49" s="216" t="s">
        <v>14</v>
      </c>
      <c r="C49" s="217">
        <v>30000</v>
      </c>
      <c r="D49" s="46"/>
      <c r="E49" s="46"/>
      <c r="F49" s="46"/>
      <c r="G49" s="46"/>
      <c r="H49" s="46"/>
      <c r="I49" s="46"/>
      <c r="J49" s="46"/>
      <c r="K49" s="46"/>
      <c r="L49" s="230" t="s">
        <v>12</v>
      </c>
      <c r="O49" s="284"/>
      <c r="P49" s="284"/>
      <c r="Q49" s="284"/>
      <c r="R49" s="284"/>
      <c r="S49" s="284"/>
    </row>
    <row r="50" spans="2:12" ht="15.75">
      <c r="B50" s="219" t="s">
        <v>78</v>
      </c>
      <c r="C50" s="40">
        <v>12000</v>
      </c>
      <c r="D50" s="28"/>
      <c r="E50" s="28"/>
      <c r="F50" s="28"/>
      <c r="G50" s="28"/>
      <c r="H50" s="28"/>
      <c r="I50" s="28"/>
      <c r="J50" s="28"/>
      <c r="K50" s="28"/>
      <c r="L50" s="231" t="s">
        <v>13</v>
      </c>
    </row>
    <row r="51" spans="2:12" ht="15.75">
      <c r="B51" s="221" t="s">
        <v>66</v>
      </c>
      <c r="C51" s="233">
        <v>1</v>
      </c>
      <c r="D51" s="47"/>
      <c r="E51" s="47"/>
      <c r="F51" s="47"/>
      <c r="G51" s="47"/>
      <c r="H51" s="47"/>
      <c r="I51" s="47"/>
      <c r="J51" s="47"/>
      <c r="K51" s="47"/>
      <c r="L51" s="232" t="s">
        <v>23</v>
      </c>
    </row>
    <row r="52" spans="2:18" ht="15.75">
      <c r="B52" s="29"/>
      <c r="C52" s="28"/>
      <c r="D52" s="28"/>
      <c r="E52" s="28"/>
      <c r="F52" s="28"/>
      <c r="G52" s="46" t="s">
        <v>317</v>
      </c>
      <c r="H52" s="28"/>
      <c r="I52" s="314" t="s">
        <v>443</v>
      </c>
      <c r="J52" s="28"/>
      <c r="K52" s="28"/>
      <c r="L52" s="28"/>
      <c r="O52" s="285"/>
      <c r="P52" s="284"/>
      <c r="Q52" s="284"/>
      <c r="R52" s="284"/>
    </row>
    <row r="53" spans="2:18" ht="15.75">
      <c r="B53" s="216"/>
      <c r="C53" s="46"/>
      <c r="D53" s="46"/>
      <c r="E53" s="46"/>
      <c r="F53" s="46" t="s">
        <v>3</v>
      </c>
      <c r="G53" s="46" t="str">
        <f>'Data input'!H3</f>
        <v>Cows&gt;3</v>
      </c>
      <c r="H53" s="46" t="str">
        <f>'Data input'!I3</f>
        <v>Cows&gt;2</v>
      </c>
      <c r="I53" s="46" t="str">
        <f>AD3</f>
        <v>Feed adjustment</v>
      </c>
      <c r="J53" s="46" t="s">
        <v>118</v>
      </c>
      <c r="K53" s="46"/>
      <c r="L53" s="230"/>
      <c r="O53" s="284"/>
      <c r="P53" s="284"/>
      <c r="Q53" s="284"/>
      <c r="R53" s="284"/>
    </row>
    <row r="54" spans="2:18" ht="15.75">
      <c r="B54" s="219" t="s">
        <v>1</v>
      </c>
      <c r="C54" s="28" t="str">
        <f>C28</f>
        <v>Spring</v>
      </c>
      <c r="D54" s="28"/>
      <c r="E54" s="28"/>
      <c r="F54" s="40">
        <v>4</v>
      </c>
      <c r="G54" s="40">
        <v>0.85</v>
      </c>
      <c r="H54" s="40">
        <v>0.85</v>
      </c>
      <c r="I54" s="40">
        <f>IF($P$8=1,AD4,IF($P$8=2,AD8,IF($P$8=3,AD12,IF($P$8=4,AD16,IF($P$8=5,AD20,IF($P$8=6,AD24,IF($P$8=7,AD28,IF($P$8=8,AD32,AD36))))))))</f>
        <v>1.3</v>
      </c>
      <c r="J54" s="28" t="str">
        <f>IF(P8&gt;5,"Trop","Temp")</f>
        <v>Trop</v>
      </c>
      <c r="K54" s="28"/>
      <c r="L54" s="231"/>
      <c r="O54" s="284"/>
      <c r="P54" s="284"/>
      <c r="Q54" s="284"/>
      <c r="R54" s="284"/>
    </row>
    <row r="55" spans="2:18" ht="15.75">
      <c r="B55" s="219"/>
      <c r="C55" s="28" t="str">
        <f>C29</f>
        <v>Summer</v>
      </c>
      <c r="D55" s="28"/>
      <c r="E55" s="28"/>
      <c r="F55" s="40">
        <v>3</v>
      </c>
      <c r="G55" s="40">
        <v>0.85</v>
      </c>
      <c r="H55" s="40">
        <v>0.85</v>
      </c>
      <c r="I55" s="40">
        <f>IF($P$8=1,AD5,IF($P$8=2,AD9,IF($P$8=3,AD13,IF($P$8=4,AD17,IF($P$8=5,AD21,IF($P$8=6,AD25,IF($P$8=7,AD29,IF($P$8=8,AD33,AD37))))))))</f>
        <v>1.1</v>
      </c>
      <c r="J55" s="28" t="str">
        <f>IF(P8&gt;5,"Trop","Temp")</f>
        <v>Trop</v>
      </c>
      <c r="K55" s="28"/>
      <c r="L55" s="231"/>
      <c r="O55" s="284"/>
      <c r="P55" s="284"/>
      <c r="Q55" s="284"/>
      <c r="R55" s="284"/>
    </row>
    <row r="56" spans="2:12" ht="15.75">
      <c r="B56" s="219"/>
      <c r="C56" s="28" t="str">
        <f>C30</f>
        <v>Autumn</v>
      </c>
      <c r="D56" s="28"/>
      <c r="E56" s="28"/>
      <c r="F56" s="40">
        <v>0</v>
      </c>
      <c r="G56" s="40">
        <v>0</v>
      </c>
      <c r="H56" s="40">
        <v>0</v>
      </c>
      <c r="I56" s="40">
        <f>IF($P$8=1,AD6,IF($P$8=2,AD10,IF($P$8=3,AD14,IF($P$8=4,AD18,IF($P$8=5,AD22,IF($P$8=6,AD26,IF($P$8=7,AD30,IF($P$8=8,AD34,AD38))))))))</f>
        <v>0</v>
      </c>
      <c r="J56" s="28" t="str">
        <f>IF(P8&gt;5,"Trop","Temp")</f>
        <v>Trop</v>
      </c>
      <c r="K56" s="28"/>
      <c r="L56" s="231"/>
    </row>
    <row r="57" spans="2:12" ht="15.75">
      <c r="B57" s="221"/>
      <c r="C57" s="47" t="str">
        <f>C31</f>
        <v>Winter</v>
      </c>
      <c r="D57" s="47"/>
      <c r="E57" s="47"/>
      <c r="F57" s="233">
        <v>0</v>
      </c>
      <c r="G57" s="233">
        <v>0</v>
      </c>
      <c r="H57" s="233">
        <v>0</v>
      </c>
      <c r="I57" s="233">
        <f>IF($P$8=1,AD7,IF($P$8=2,AD11,IF($P$8=3,AD15,IF($P$8=4,AD19,IF($P$8=5,AD23,IF($P$8=6,AD27,IF($P$8=7,AD31,IF($P$8=8,AD35,AD39))))))))</f>
        <v>0</v>
      </c>
      <c r="J57" s="47" t="str">
        <f>IF(P8&gt;5,"Trop","Temp")</f>
        <v>Trop</v>
      </c>
      <c r="K57" s="47"/>
      <c r="L57" s="232"/>
    </row>
    <row r="58" ht="15.75"/>
    <row r="59" ht="15.75"/>
    <row r="60" ht="15.75"/>
    <row r="64" ht="15.75">
      <c r="B64" s="37"/>
    </row>
    <row r="65" ht="30.75" customHeight="1">
      <c r="L65" s="44"/>
    </row>
    <row r="66" spans="7:12" ht="17.25" customHeight="1">
      <c r="G66" s="44"/>
      <c r="L66" s="44"/>
    </row>
    <row r="67" spans="2:11" ht="15.75">
      <c r="B67" s="282"/>
      <c r="C67" s="283"/>
      <c r="D67" s="283"/>
      <c r="E67" s="284"/>
      <c r="F67" s="284"/>
      <c r="G67" s="284"/>
      <c r="H67" s="284"/>
      <c r="I67" s="284"/>
      <c r="J67" s="284"/>
      <c r="K67" s="284"/>
    </row>
    <row r="68" spans="2:11" ht="15.75">
      <c r="B68" s="284"/>
      <c r="C68" s="283"/>
      <c r="D68" s="284"/>
      <c r="E68" s="284"/>
      <c r="F68" s="284"/>
      <c r="G68" s="284"/>
      <c r="H68" s="284"/>
      <c r="I68" s="284"/>
      <c r="J68" s="284"/>
      <c r="K68" s="284"/>
    </row>
    <row r="69" spans="2:11" ht="15.75">
      <c r="B69" s="284"/>
      <c r="C69" s="283"/>
      <c r="D69" s="284"/>
      <c r="E69" s="284"/>
      <c r="F69" s="284"/>
      <c r="G69" s="284"/>
      <c r="H69" s="284"/>
      <c r="I69" s="284"/>
      <c r="J69" s="284"/>
      <c r="K69" s="284"/>
    </row>
    <row r="70" spans="2:11" ht="15.75">
      <c r="B70" s="284"/>
      <c r="C70" s="283"/>
      <c r="D70" s="284"/>
      <c r="E70" s="284"/>
      <c r="F70" s="284"/>
      <c r="G70" s="284"/>
      <c r="H70" s="284"/>
      <c r="I70" s="284"/>
      <c r="J70" s="284"/>
      <c r="K70" s="284"/>
    </row>
  </sheetData>
  <sheetProtection sheet="1" objects="1" scenarios="1"/>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Y117"/>
  <sheetViews>
    <sheetView showGridLines="0" zoomScale="80" zoomScaleNormal="80" zoomScalePageLayoutView="0" workbookViewId="0" topLeftCell="A1">
      <selection activeCell="A1" sqref="A1"/>
    </sheetView>
  </sheetViews>
  <sheetFormatPr defaultColWidth="8.8515625" defaultRowHeight="12.75"/>
  <cols>
    <col min="1" max="1" width="2.140625" style="3" customWidth="1"/>
    <col min="2" max="2" width="29.57421875" style="3" customWidth="1"/>
    <col min="3" max="3" width="13.140625" style="3" customWidth="1"/>
    <col min="4" max="4" width="12.28125" style="3" bestFit="1" customWidth="1"/>
    <col min="5" max="5" width="12.7109375" style="3" customWidth="1"/>
    <col min="6" max="6" width="11.140625" style="3" customWidth="1"/>
    <col min="7" max="7" width="12.421875" style="3" customWidth="1"/>
    <col min="8" max="9" width="11.28125" style="3" customWidth="1"/>
    <col min="10" max="10" width="17.140625" style="3" customWidth="1"/>
    <col min="11" max="11" width="10.7109375" style="3" bestFit="1" customWidth="1"/>
    <col min="12" max="12" width="10.7109375" style="3" customWidth="1"/>
    <col min="13" max="13" width="8.8515625" style="3" customWidth="1"/>
    <col min="14" max="14" width="25.00390625" style="3" customWidth="1"/>
    <col min="15" max="16" width="11.28125" style="3" customWidth="1"/>
    <col min="17" max="17" width="12.421875" style="3" customWidth="1"/>
    <col min="18" max="18" width="11.00390625" style="3" customWidth="1"/>
    <col min="19" max="19" width="11.28125" style="3" customWidth="1"/>
    <col min="20" max="20" width="10.57421875" style="3" customWidth="1"/>
    <col min="21" max="21" width="10.8515625" style="3" customWidth="1"/>
    <col min="22" max="22" width="12.8515625" style="3" customWidth="1"/>
    <col min="23" max="23" width="18.28125" style="3" customWidth="1"/>
    <col min="24" max="24" width="17.421875" style="63" customWidth="1"/>
    <col min="25" max="25" width="18.7109375" style="3" customWidth="1"/>
    <col min="26" max="16384" width="8.8515625" style="3" customWidth="1"/>
  </cols>
  <sheetData>
    <row r="1" ht="31.5" customHeight="1">
      <c r="B1" s="49" t="s">
        <v>92</v>
      </c>
    </row>
    <row r="2" ht="15.75">
      <c r="B2" s="50"/>
    </row>
    <row r="3" spans="2:25" ht="15" customHeight="1">
      <c r="B3" s="72" t="s">
        <v>111</v>
      </c>
      <c r="C3" s="72" t="s">
        <v>153</v>
      </c>
      <c r="D3" s="320" t="str">
        <f>'Data input'!D3</f>
        <v>Bulls&gt;1</v>
      </c>
      <c r="E3" s="320" t="str">
        <f>'Data input'!E3</f>
        <v>Steers 1 to 2</v>
      </c>
      <c r="F3" s="320" t="str">
        <f>'Data input'!F3</f>
        <v>Weaners&lt;1</v>
      </c>
      <c r="G3" s="320" t="str">
        <f>'Data input'!G3</f>
        <v>Cows 1 to 2</v>
      </c>
      <c r="H3" s="320" t="str">
        <f>'Data input'!H3</f>
        <v>Cows&gt;3</v>
      </c>
      <c r="I3" s="320" t="str">
        <f>'Data input'!I3</f>
        <v>Cows&gt;2</v>
      </c>
      <c r="J3" s="320" t="str">
        <f>'Data input'!J3</f>
        <v>Steers 2 to 3</v>
      </c>
      <c r="K3" s="320" t="str">
        <f>'Data input'!K3</f>
        <v>Steers&gt;3</v>
      </c>
      <c r="L3" s="320" t="str">
        <f>'Data input'!L3</f>
        <v>Units</v>
      </c>
      <c r="N3" s="59" t="s">
        <v>112</v>
      </c>
      <c r="O3" s="59" t="s">
        <v>153</v>
      </c>
      <c r="P3" s="320" t="str">
        <f>'Data input'!D3</f>
        <v>Bulls&gt;1</v>
      </c>
      <c r="Q3" s="320" t="str">
        <f>'Data input'!E3</f>
        <v>Steers 1 to 2</v>
      </c>
      <c r="R3" s="320" t="str">
        <f>'Data input'!F3</f>
        <v>Weaners&lt;1</v>
      </c>
      <c r="S3" s="320" t="str">
        <f>'Data input'!G3</f>
        <v>Cows 1 to 2</v>
      </c>
      <c r="T3" s="320" t="str">
        <f>'Data input'!H3</f>
        <v>Cows&gt;3</v>
      </c>
      <c r="U3" s="320" t="str">
        <f>'Data input'!I3</f>
        <v>Cows&gt;2</v>
      </c>
      <c r="V3" s="320" t="str">
        <f>'Data input'!J3</f>
        <v>Steers 2 to 3</v>
      </c>
      <c r="W3" s="320" t="str">
        <f>'Data input'!K3</f>
        <v>Steers&gt;3</v>
      </c>
      <c r="X3" s="320" t="str">
        <f>'Data input'!L3</f>
        <v>Units</v>
      </c>
      <c r="Y3" s="60" t="s">
        <v>427</v>
      </c>
    </row>
    <row r="4" spans="2:25" ht="15.75">
      <c r="B4" s="61"/>
      <c r="C4" s="67"/>
      <c r="D4" s="61"/>
      <c r="E4" s="61"/>
      <c r="F4" s="61"/>
      <c r="G4" s="61"/>
      <c r="H4" s="61"/>
      <c r="I4" s="61"/>
      <c r="J4" s="61"/>
      <c r="K4" s="61"/>
      <c r="L4" s="61"/>
      <c r="N4" s="67"/>
      <c r="O4" s="67"/>
      <c r="P4" s="67"/>
      <c r="Q4" s="67"/>
      <c r="R4" s="67"/>
      <c r="S4" s="67"/>
      <c r="T4" s="67"/>
      <c r="U4" s="67"/>
      <c r="V4" s="67"/>
      <c r="W4" s="67"/>
      <c r="X4" s="321"/>
      <c r="Y4" s="79"/>
    </row>
    <row r="5" spans="2:25" ht="15.75">
      <c r="B5" s="61" t="s">
        <v>433</v>
      </c>
      <c r="C5" s="67" t="s">
        <v>32</v>
      </c>
      <c r="D5" s="67">
        <f>'Data input'!D4</f>
        <v>20</v>
      </c>
      <c r="E5" s="67">
        <f>'Data input'!E4</f>
        <v>40</v>
      </c>
      <c r="F5" s="67">
        <f>'Data input'!F4</f>
        <v>100</v>
      </c>
      <c r="G5" s="67">
        <f>'Data input'!G4</f>
        <v>50</v>
      </c>
      <c r="H5" s="67">
        <f>'Data input'!H4</f>
        <v>200</v>
      </c>
      <c r="I5" s="67">
        <f>'Data input'!I4</f>
        <v>100</v>
      </c>
      <c r="J5" s="67">
        <f>'Data input'!J4</f>
        <v>100</v>
      </c>
      <c r="K5" s="67">
        <f>'Data input'!K4</f>
        <v>60</v>
      </c>
      <c r="L5" s="67" t="str">
        <f>'Data input'!L4</f>
        <v>head</v>
      </c>
      <c r="N5" s="62" t="s">
        <v>37</v>
      </c>
      <c r="O5" s="67"/>
      <c r="P5" s="61" t="s">
        <v>155</v>
      </c>
      <c r="Q5" s="67"/>
      <c r="R5" s="67"/>
      <c r="S5" s="67"/>
      <c r="T5" s="67"/>
      <c r="U5" s="67"/>
      <c r="V5" s="67"/>
      <c r="W5" s="67"/>
      <c r="X5" s="321"/>
      <c r="Y5" s="79" t="s">
        <v>156</v>
      </c>
    </row>
    <row r="6" spans="2:25" ht="15.75">
      <c r="B6" s="61"/>
      <c r="C6" s="67" t="s">
        <v>33</v>
      </c>
      <c r="D6" s="67">
        <f>'Data input'!D5</f>
        <v>20</v>
      </c>
      <c r="E6" s="67">
        <f>'Data input'!E5</f>
        <v>40</v>
      </c>
      <c r="F6" s="67">
        <f>'Data input'!F5</f>
        <v>100</v>
      </c>
      <c r="G6" s="67">
        <f>'Data input'!G5</f>
        <v>50</v>
      </c>
      <c r="H6" s="67">
        <f>'Data input'!H5</f>
        <v>200</v>
      </c>
      <c r="I6" s="67">
        <f>'Data input'!I5</f>
        <v>100</v>
      </c>
      <c r="J6" s="67">
        <f>'Data input'!J5</f>
        <v>100</v>
      </c>
      <c r="K6" s="67">
        <f>'Data input'!K5</f>
        <v>60</v>
      </c>
      <c r="L6" s="67" t="str">
        <f>'Data input'!L5</f>
        <v>head</v>
      </c>
      <c r="N6" s="67"/>
      <c r="O6" s="67" t="s">
        <v>32</v>
      </c>
      <c r="P6" s="73">
        <f aca="true" t="shared" si="0" ref="P6:S9">(1.185+(0.00454*D15)-(0.0000026*(D15)^2)+((0.315*D10)))^2</f>
        <v>12.292456723599997</v>
      </c>
      <c r="Q6" s="73">
        <f t="shared" si="0"/>
        <v>6.270016000000002</v>
      </c>
      <c r="R6" s="73">
        <f t="shared" si="0"/>
        <v>6.107521395599998</v>
      </c>
      <c r="S6" s="73">
        <f t="shared" si="0"/>
        <v>8.533351016100003</v>
      </c>
      <c r="T6" s="73">
        <f>(1.185+(0.00454*H15)-(0.0000026*(H15)^2)+((0.315*H10)))^2*T14</f>
        <v>13.043800748785499</v>
      </c>
      <c r="U6" s="73">
        <f aca="true" t="shared" si="1" ref="U6:W9">(1.185+(0.00454*I15)-(0.0000026*(I15)^2)+((0.315*I10)))^2</f>
        <v>6.107521395599998</v>
      </c>
      <c r="V6" s="73">
        <f t="shared" si="1"/>
        <v>6.107521395599998</v>
      </c>
      <c r="W6" s="73">
        <f t="shared" si="1"/>
        <v>9.4045875561</v>
      </c>
      <c r="X6" s="67" t="s">
        <v>157</v>
      </c>
      <c r="Y6" s="79"/>
    </row>
    <row r="7" spans="2:25" ht="15.75">
      <c r="B7" s="61"/>
      <c r="C7" s="67" t="s">
        <v>34</v>
      </c>
      <c r="D7" s="67">
        <f>'Data input'!D6</f>
        <v>20</v>
      </c>
      <c r="E7" s="67">
        <f>'Data input'!E6</f>
        <v>40</v>
      </c>
      <c r="F7" s="67">
        <f>'Data input'!F6</f>
        <v>100</v>
      </c>
      <c r="G7" s="67">
        <f>'Data input'!G6</f>
        <v>50</v>
      </c>
      <c r="H7" s="67">
        <f>'Data input'!H6</f>
        <v>200</v>
      </c>
      <c r="I7" s="67">
        <f>'Data input'!I6</f>
        <v>100</v>
      </c>
      <c r="J7" s="67">
        <f>'Data input'!J6</f>
        <v>50</v>
      </c>
      <c r="K7" s="67">
        <f>'Data input'!K6</f>
        <v>60</v>
      </c>
      <c r="L7" s="67" t="str">
        <f>'Data input'!L6</f>
        <v>head</v>
      </c>
      <c r="N7" s="67"/>
      <c r="O7" s="67" t="s">
        <v>33</v>
      </c>
      <c r="P7" s="73">
        <f t="shared" si="0"/>
        <v>10.689303302500006</v>
      </c>
      <c r="Q7" s="73">
        <f t="shared" si="0"/>
        <v>5.5521968161</v>
      </c>
      <c r="R7" s="73">
        <f t="shared" si="0"/>
        <v>5.406601544100001</v>
      </c>
      <c r="S7" s="73">
        <f t="shared" si="0"/>
        <v>7.746146576100002</v>
      </c>
      <c r="T7" s="73">
        <f>(1.185+(0.00454*H16)-(0.0000026*(H16)^2)+((0.315*H11)))^2*T15</f>
        <v>8.899708160000001</v>
      </c>
      <c r="U7" s="73">
        <f t="shared" si="1"/>
        <v>5.1028099236000015</v>
      </c>
      <c r="V7" s="73">
        <f t="shared" si="1"/>
        <v>2.1750350399999996</v>
      </c>
      <c r="W7" s="73">
        <f t="shared" si="1"/>
        <v>8.2794883081</v>
      </c>
      <c r="X7" s="67" t="s">
        <v>157</v>
      </c>
      <c r="Y7" s="79"/>
    </row>
    <row r="8" spans="2:25" ht="15.75">
      <c r="B8" s="61"/>
      <c r="C8" s="67" t="s">
        <v>35</v>
      </c>
      <c r="D8" s="67">
        <f>'Data input'!D7</f>
        <v>20</v>
      </c>
      <c r="E8" s="67">
        <f>'Data input'!E7</f>
        <v>40</v>
      </c>
      <c r="F8" s="67">
        <f>'Data input'!F7</f>
        <v>100</v>
      </c>
      <c r="G8" s="67">
        <f>'Data input'!G7</f>
        <v>50</v>
      </c>
      <c r="H8" s="67">
        <f>'Data input'!H7</f>
        <v>200</v>
      </c>
      <c r="I8" s="67">
        <f>'Data input'!I7</f>
        <v>100</v>
      </c>
      <c r="J8" s="67">
        <f>'Data input'!J7</f>
        <v>50</v>
      </c>
      <c r="K8" s="67">
        <f>'Data input'!K7</f>
        <v>60</v>
      </c>
      <c r="L8" s="67" t="str">
        <f>'Data input'!L7</f>
        <v>head</v>
      </c>
      <c r="N8" s="67"/>
      <c r="O8" s="67" t="s">
        <v>34</v>
      </c>
      <c r="P8" s="73">
        <f t="shared" si="0"/>
        <v>9.935103999999997</v>
      </c>
      <c r="Q8" s="73">
        <f t="shared" si="0"/>
        <v>3.1346702499999997</v>
      </c>
      <c r="R8" s="73">
        <f t="shared" si="0"/>
        <v>3.1190562272249998</v>
      </c>
      <c r="S8" s="73">
        <f t="shared" si="0"/>
        <v>6.010342559999998</v>
      </c>
      <c r="T8" s="73">
        <f>(1.185+(0.00454*H17)-(0.0000026*(H17)^2)+((0.315*H12)))^2*T16</f>
        <v>7.64246025</v>
      </c>
      <c r="U8" s="73">
        <f t="shared" si="1"/>
        <v>3.1190562272249998</v>
      </c>
      <c r="V8" s="73">
        <f t="shared" si="1"/>
        <v>3.1190562272249998</v>
      </c>
      <c r="W8" s="73">
        <f t="shared" si="1"/>
        <v>7.141401075600003</v>
      </c>
      <c r="X8" s="67" t="s">
        <v>157</v>
      </c>
      <c r="Y8" s="79"/>
    </row>
    <row r="9" spans="2:25" ht="15.75">
      <c r="B9" s="61"/>
      <c r="C9" s="67"/>
      <c r="D9" s="67"/>
      <c r="E9" s="67"/>
      <c r="F9" s="67"/>
      <c r="G9" s="67"/>
      <c r="H9" s="67"/>
      <c r="I9" s="67"/>
      <c r="J9" s="67"/>
      <c r="K9" s="67"/>
      <c r="L9" s="67"/>
      <c r="N9" s="67"/>
      <c r="O9" s="67" t="s">
        <v>35</v>
      </c>
      <c r="P9" s="73">
        <f t="shared" si="0"/>
        <v>10.082276067599995</v>
      </c>
      <c r="Q9" s="73">
        <f t="shared" si="0"/>
        <v>3.9233705625</v>
      </c>
      <c r="R9" s="73">
        <f t="shared" si="0"/>
        <v>3.7017375200999996</v>
      </c>
      <c r="S9" s="73">
        <f t="shared" si="0"/>
        <v>5.957797539599999</v>
      </c>
      <c r="T9" s="73">
        <f>(1.185+(0.00454*H18)-(0.0000026*(H18)^2)+((0.315*H13)))^2*T17</f>
        <v>7.917245337600002</v>
      </c>
      <c r="U9" s="73">
        <f t="shared" si="1"/>
        <v>3.7017375200999996</v>
      </c>
      <c r="V9" s="73">
        <f t="shared" si="1"/>
        <v>3.7017375200999996</v>
      </c>
      <c r="W9" s="73">
        <f t="shared" si="1"/>
        <v>7.746146576100002</v>
      </c>
      <c r="X9" s="67" t="s">
        <v>157</v>
      </c>
      <c r="Y9" s="79"/>
    </row>
    <row r="10" spans="2:25" ht="15.75">
      <c r="B10" s="61" t="s">
        <v>0</v>
      </c>
      <c r="C10" s="67" t="s">
        <v>32</v>
      </c>
      <c r="D10" s="67">
        <f>'Data input'!D16</f>
        <v>1.1</v>
      </c>
      <c r="E10" s="67">
        <f>'Data input'!E16</f>
        <v>1.1</v>
      </c>
      <c r="F10" s="67">
        <f>'Data input'!F16</f>
        <v>1.1</v>
      </c>
      <c r="G10" s="67">
        <f>'Data input'!G16</f>
        <v>0.99</v>
      </c>
      <c r="H10" s="67">
        <f>'Data input'!H16</f>
        <v>0.99</v>
      </c>
      <c r="I10" s="67">
        <f>'Data input'!I16</f>
        <v>1.1</v>
      </c>
      <c r="J10" s="67">
        <f>'Data input'!J16</f>
        <v>1.1</v>
      </c>
      <c r="K10" s="67">
        <f>'Data input'!K16</f>
        <v>0.77</v>
      </c>
      <c r="L10" s="67" t="str">
        <f>'Data input'!L16</f>
        <v>kg/day</v>
      </c>
      <c r="N10" s="67"/>
      <c r="O10" s="67"/>
      <c r="P10" s="67"/>
      <c r="Q10" s="67"/>
      <c r="R10" s="67"/>
      <c r="S10" s="67"/>
      <c r="T10" s="67"/>
      <c r="U10" s="67"/>
      <c r="V10" s="67"/>
      <c r="W10" s="67"/>
      <c r="X10" s="67"/>
      <c r="Y10" s="79"/>
    </row>
    <row r="11" spans="2:25" ht="15.75">
      <c r="B11" s="61"/>
      <c r="C11" s="67" t="s">
        <v>33</v>
      </c>
      <c r="D11" s="67">
        <f>'Data input'!D17</f>
        <v>0.33</v>
      </c>
      <c r="E11" s="67">
        <f>'Data input'!E17</f>
        <v>0.33</v>
      </c>
      <c r="F11" s="67">
        <f>'Data input'!F17</f>
        <v>0.33</v>
      </c>
      <c r="G11" s="67">
        <f>'Data input'!G17</f>
        <v>0.33</v>
      </c>
      <c r="H11" s="67">
        <f>'Data input'!H17</f>
        <v>-0.1</v>
      </c>
      <c r="I11" s="67">
        <f>'Data input'!I17</f>
        <v>0.22</v>
      </c>
      <c r="J11" s="67">
        <f>'Data input'!J17</f>
        <v>0.22</v>
      </c>
      <c r="K11" s="67">
        <f>'Data input'!K17</f>
        <v>0.11</v>
      </c>
      <c r="L11" s="67" t="str">
        <f>'Data input'!L17</f>
        <v>kg/day</v>
      </c>
      <c r="N11" s="61" t="s">
        <v>158</v>
      </c>
      <c r="O11" s="67"/>
      <c r="P11" s="61" t="s">
        <v>113</v>
      </c>
      <c r="Q11" s="67"/>
      <c r="R11" s="67"/>
      <c r="S11" s="67"/>
      <c r="T11" s="67"/>
      <c r="U11" s="67"/>
      <c r="V11" s="67"/>
      <c r="W11" s="67"/>
      <c r="X11" s="67" t="s">
        <v>157</v>
      </c>
      <c r="Y11" s="79" t="s">
        <v>159</v>
      </c>
    </row>
    <row r="12" spans="2:25" ht="15.75">
      <c r="B12" s="61"/>
      <c r="C12" s="67" t="s">
        <v>34</v>
      </c>
      <c r="D12" s="67">
        <f>'Data input'!D18</f>
        <v>0.2</v>
      </c>
      <c r="E12" s="67">
        <f>'Data input'!E18</f>
        <v>0.5</v>
      </c>
      <c r="F12" s="67">
        <f>'Data input'!F18</f>
        <v>0.55</v>
      </c>
      <c r="G12" s="67">
        <f>'Data input'!G18</f>
        <v>0.44</v>
      </c>
      <c r="H12" s="67">
        <f>'Data input'!H18</f>
        <v>0.2</v>
      </c>
      <c r="I12" s="67">
        <f>'Data input'!I18</f>
        <v>0.55</v>
      </c>
      <c r="J12" s="67">
        <f>'Data input'!J18</f>
        <v>0.55</v>
      </c>
      <c r="K12" s="67">
        <f>'Data input'!K18</f>
        <v>0.2</v>
      </c>
      <c r="L12" s="67" t="str">
        <f>'Data input'!L18</f>
        <v>kg/day</v>
      </c>
      <c r="N12" s="67"/>
      <c r="O12" s="67"/>
      <c r="P12" s="67" t="s">
        <v>434</v>
      </c>
      <c r="Q12" s="67"/>
      <c r="R12" s="67"/>
      <c r="S12" s="67"/>
      <c r="T12" s="67"/>
      <c r="U12" s="67"/>
      <c r="V12" s="67"/>
      <c r="W12" s="67"/>
      <c r="X12" s="67"/>
      <c r="Y12" s="79"/>
    </row>
    <row r="13" spans="2:25" ht="15.75">
      <c r="B13" s="61"/>
      <c r="C13" s="67" t="s">
        <v>35</v>
      </c>
      <c r="D13" s="67">
        <f>'Data input'!D19</f>
        <v>0.22</v>
      </c>
      <c r="E13" s="67">
        <f>'Data input'!E19</f>
        <v>0.55</v>
      </c>
      <c r="F13" s="67">
        <f>'Data input'!F19</f>
        <v>0.49</v>
      </c>
      <c r="G13" s="67">
        <f>'Data input'!G19</f>
        <v>0.22</v>
      </c>
      <c r="H13" s="67">
        <f>'Data input'!H19</f>
        <v>0.22</v>
      </c>
      <c r="I13" s="67">
        <f>'Data input'!I19</f>
        <v>0.49</v>
      </c>
      <c r="J13" s="67">
        <f>'Data input'!J19</f>
        <v>0.49</v>
      </c>
      <c r="K13" s="67">
        <f>'Data input'!K19</f>
        <v>0.33</v>
      </c>
      <c r="L13" s="67" t="str">
        <f>'Data input'!L19</f>
        <v>kg/day</v>
      </c>
      <c r="N13" s="67"/>
      <c r="O13" s="67"/>
      <c r="P13" s="67" t="s">
        <v>160</v>
      </c>
      <c r="Q13" s="67"/>
      <c r="R13" s="67"/>
      <c r="S13" s="67"/>
      <c r="T13" s="67"/>
      <c r="U13" s="67"/>
      <c r="V13" s="67"/>
      <c r="W13" s="67"/>
      <c r="X13" s="67"/>
      <c r="Y13" s="79" t="s">
        <v>161</v>
      </c>
    </row>
    <row r="14" spans="2:25" ht="15.75">
      <c r="B14" s="61"/>
      <c r="C14" s="67"/>
      <c r="D14" s="67"/>
      <c r="E14" s="67"/>
      <c r="F14" s="67"/>
      <c r="G14" s="67"/>
      <c r="H14" s="67"/>
      <c r="I14" s="67"/>
      <c r="J14" s="68"/>
      <c r="K14" s="67"/>
      <c r="L14" s="67"/>
      <c r="N14" s="67"/>
      <c r="O14" s="67" t="s">
        <v>32</v>
      </c>
      <c r="P14" s="67"/>
      <c r="Q14" s="67"/>
      <c r="R14" s="67"/>
      <c r="S14" s="67"/>
      <c r="T14" s="74">
        <f>(H25*H30)+((1-H25)*1)</f>
        <v>1.255</v>
      </c>
      <c r="U14" s="67"/>
      <c r="V14" s="67"/>
      <c r="W14" s="67"/>
      <c r="X14" s="67"/>
      <c r="Y14" s="79"/>
    </row>
    <row r="15" spans="2:25" ht="15.75">
      <c r="B15" s="61" t="s">
        <v>154</v>
      </c>
      <c r="C15" s="67" t="s">
        <v>32</v>
      </c>
      <c r="D15" s="67">
        <f>'Data input'!D10</f>
        <v>820</v>
      </c>
      <c r="E15" s="67">
        <f>'Data input'!E10</f>
        <v>250</v>
      </c>
      <c r="F15" s="67">
        <f>'Data input'!F10</f>
        <v>240</v>
      </c>
      <c r="G15" s="67">
        <f>'Data input'!G10</f>
        <v>410</v>
      </c>
      <c r="H15" s="67">
        <f>'Data input'!H10</f>
        <v>560</v>
      </c>
      <c r="I15" s="67">
        <f>'Data input'!I10</f>
        <v>240</v>
      </c>
      <c r="J15" s="67">
        <f>'Data input'!J10</f>
        <v>240</v>
      </c>
      <c r="K15" s="67">
        <f>'Data input'!K10</f>
        <v>510</v>
      </c>
      <c r="L15" s="67" t="str">
        <f>'Data input'!L10</f>
        <v>kg/head</v>
      </c>
      <c r="N15" s="67"/>
      <c r="O15" s="67" t="s">
        <v>33</v>
      </c>
      <c r="P15" s="67"/>
      <c r="Q15" s="67"/>
      <c r="R15" s="67"/>
      <c r="S15" s="67"/>
      <c r="T15" s="74">
        <f>(H26*H31)+((1-H26)*1)</f>
        <v>1.085</v>
      </c>
      <c r="U15" s="67"/>
      <c r="V15" s="67"/>
      <c r="W15" s="67"/>
      <c r="X15" s="67"/>
      <c r="Y15" s="79"/>
    </row>
    <row r="16" spans="2:25" ht="15.75">
      <c r="B16" s="61"/>
      <c r="C16" s="67" t="s">
        <v>33</v>
      </c>
      <c r="D16" s="67">
        <f>'Data input'!D11</f>
        <v>850</v>
      </c>
      <c r="E16" s="67">
        <f>'Data input'!E11</f>
        <v>280</v>
      </c>
      <c r="F16" s="67">
        <f>'Data input'!F11</f>
        <v>270</v>
      </c>
      <c r="G16" s="67">
        <f>'Data input'!G11</f>
        <v>440</v>
      </c>
      <c r="H16" s="67">
        <f>'Data input'!H11</f>
        <v>550</v>
      </c>
      <c r="I16" s="67">
        <f>'Data input'!I11</f>
        <v>260</v>
      </c>
      <c r="J16" s="67">
        <f>'Data input'!J11</f>
        <v>50</v>
      </c>
      <c r="K16" s="67">
        <f>'Data input'!K11</f>
        <v>520</v>
      </c>
      <c r="L16" s="67" t="str">
        <f>'Data input'!L11</f>
        <v>kg/head</v>
      </c>
      <c r="N16" s="67"/>
      <c r="O16" s="67" t="s">
        <v>34</v>
      </c>
      <c r="P16" s="67"/>
      <c r="Q16" s="67"/>
      <c r="R16" s="67"/>
      <c r="S16" s="67"/>
      <c r="T16" s="74">
        <f>(H27*H32)+((1-H27)*1)</f>
        <v>1</v>
      </c>
      <c r="U16" s="67"/>
      <c r="V16" s="67"/>
      <c r="W16" s="67"/>
      <c r="X16" s="67"/>
      <c r="Y16" s="79"/>
    </row>
    <row r="17" spans="2:25" ht="15.75">
      <c r="B17" s="61"/>
      <c r="C17" s="67" t="s">
        <v>34</v>
      </c>
      <c r="D17" s="67">
        <f>'Data input'!D12</f>
        <v>700</v>
      </c>
      <c r="E17" s="67">
        <f>'Data input'!E12</f>
        <v>100</v>
      </c>
      <c r="F17" s="67">
        <f>'Data input'!F12</f>
        <v>95</v>
      </c>
      <c r="G17" s="67">
        <f>'Data input'!G12</f>
        <v>300</v>
      </c>
      <c r="H17" s="67">
        <f>'Data input'!H12</f>
        <v>450</v>
      </c>
      <c r="I17" s="67">
        <f>'Data input'!I12</f>
        <v>95</v>
      </c>
      <c r="J17" s="67">
        <f>'Data input'!J12</f>
        <v>95</v>
      </c>
      <c r="K17" s="67">
        <f>'Data input'!K12</f>
        <v>410</v>
      </c>
      <c r="L17" s="67" t="str">
        <f>'Data input'!L12</f>
        <v>kg/head</v>
      </c>
      <c r="N17" s="67"/>
      <c r="O17" s="67" t="s">
        <v>35</v>
      </c>
      <c r="P17" s="67"/>
      <c r="Q17" s="67"/>
      <c r="R17" s="67"/>
      <c r="S17" s="67"/>
      <c r="T17" s="74">
        <f>(H28*H33)+((1-H28)*1)</f>
        <v>1</v>
      </c>
      <c r="U17" s="67"/>
      <c r="V17" s="67"/>
      <c r="W17" s="67"/>
      <c r="X17" s="67"/>
      <c r="Y17" s="79"/>
    </row>
    <row r="18" spans="2:25" ht="15.75">
      <c r="B18" s="61"/>
      <c r="C18" s="67" t="s">
        <v>35</v>
      </c>
      <c r="D18" s="67">
        <f>'Data input'!D13</f>
        <v>720</v>
      </c>
      <c r="E18" s="67">
        <f>'Data input'!E13</f>
        <v>150</v>
      </c>
      <c r="F18" s="67">
        <f>'Data input'!F13</f>
        <v>140</v>
      </c>
      <c r="G18" s="67">
        <f>'Data input'!G13</f>
        <v>320</v>
      </c>
      <c r="H18" s="67">
        <f>'Data input'!H13</f>
        <v>470</v>
      </c>
      <c r="I18" s="67">
        <f>'Data input'!I13</f>
        <v>140</v>
      </c>
      <c r="J18" s="67">
        <f>'Data input'!J13</f>
        <v>140</v>
      </c>
      <c r="K18" s="67">
        <f>'Data input'!K13</f>
        <v>440</v>
      </c>
      <c r="L18" s="67" t="str">
        <f>'Data input'!L13</f>
        <v>kg/head</v>
      </c>
      <c r="N18" s="67"/>
      <c r="O18" s="67"/>
      <c r="P18" s="67"/>
      <c r="Q18" s="67"/>
      <c r="R18" s="67"/>
      <c r="S18" s="67"/>
      <c r="T18" s="67"/>
      <c r="U18" s="67"/>
      <c r="V18" s="67"/>
      <c r="W18" s="67"/>
      <c r="X18" s="67"/>
      <c r="Y18" s="80"/>
    </row>
    <row r="19" spans="2:25" ht="15.75">
      <c r="B19" s="61"/>
      <c r="C19" s="67"/>
      <c r="D19" s="67"/>
      <c r="E19" s="67"/>
      <c r="F19" s="67"/>
      <c r="G19" s="67"/>
      <c r="H19" s="67"/>
      <c r="I19" s="67"/>
      <c r="J19" s="68"/>
      <c r="K19" s="67"/>
      <c r="L19" s="67"/>
      <c r="N19" s="61" t="s">
        <v>164</v>
      </c>
      <c r="O19" s="67"/>
      <c r="P19" s="61" t="s">
        <v>114</v>
      </c>
      <c r="Q19" s="67"/>
      <c r="R19" s="67"/>
      <c r="S19" s="67"/>
      <c r="T19" s="67"/>
      <c r="U19" s="67"/>
      <c r="V19" s="67"/>
      <c r="W19" s="67"/>
      <c r="X19" s="67"/>
      <c r="Y19" s="79" t="s">
        <v>165</v>
      </c>
    </row>
    <row r="20" spans="2:25" ht="15.75">
      <c r="B20" s="61" t="s">
        <v>435</v>
      </c>
      <c r="C20" s="67" t="s">
        <v>32</v>
      </c>
      <c r="D20" s="67">
        <f>'Data input'!D28</f>
        <v>80</v>
      </c>
      <c r="E20" s="67">
        <f>'Data input'!E28</f>
        <v>80</v>
      </c>
      <c r="F20" s="67">
        <f>'Data input'!F28</f>
        <v>80</v>
      </c>
      <c r="G20" s="67">
        <f>'Data input'!G28</f>
        <v>80</v>
      </c>
      <c r="H20" s="67">
        <f>'Data input'!H28</f>
        <v>80</v>
      </c>
      <c r="I20" s="67">
        <f>'Data input'!I28</f>
        <v>80</v>
      </c>
      <c r="J20" s="67">
        <f>'Data input'!J28</f>
        <v>80</v>
      </c>
      <c r="K20" s="67">
        <f>'Data input'!K28</f>
        <v>80</v>
      </c>
      <c r="L20" s="67" t="str">
        <f>'Data input'!L28</f>
        <v>%</v>
      </c>
      <c r="N20" s="67"/>
      <c r="O20" s="67" t="s">
        <v>32</v>
      </c>
      <c r="P20" s="75">
        <f aca="true" t="shared" si="2" ref="P20:W20">(P6*18.4)</f>
        <v>226.18120371423993</v>
      </c>
      <c r="Q20" s="75">
        <f t="shared" si="2"/>
        <v>115.36829440000002</v>
      </c>
      <c r="R20" s="75">
        <f t="shared" si="2"/>
        <v>112.37839367903996</v>
      </c>
      <c r="S20" s="75">
        <f t="shared" si="2"/>
        <v>157.01365869624004</v>
      </c>
      <c r="T20" s="75">
        <f t="shared" si="2"/>
        <v>240.00593377765315</v>
      </c>
      <c r="U20" s="75">
        <f t="shared" si="2"/>
        <v>112.37839367903996</v>
      </c>
      <c r="V20" s="75">
        <f t="shared" si="2"/>
        <v>112.37839367903996</v>
      </c>
      <c r="W20" s="75">
        <f t="shared" si="2"/>
        <v>173.04441103223996</v>
      </c>
      <c r="X20" s="67" t="s">
        <v>115</v>
      </c>
      <c r="Y20" s="79"/>
    </row>
    <row r="21" spans="2:25" ht="15.75">
      <c r="B21" s="61"/>
      <c r="C21" s="67" t="s">
        <v>33</v>
      </c>
      <c r="D21" s="67">
        <f>'Data input'!D29</f>
        <v>55</v>
      </c>
      <c r="E21" s="67">
        <f>'Data input'!E29</f>
        <v>55</v>
      </c>
      <c r="F21" s="67">
        <f>'Data input'!F29</f>
        <v>55</v>
      </c>
      <c r="G21" s="67">
        <f>'Data input'!G29</f>
        <v>55</v>
      </c>
      <c r="H21" s="67">
        <f>'Data input'!H29</f>
        <v>55</v>
      </c>
      <c r="I21" s="67">
        <f>'Data input'!I29</f>
        <v>55</v>
      </c>
      <c r="J21" s="67">
        <f>'Data input'!J29</f>
        <v>55</v>
      </c>
      <c r="K21" s="67">
        <f>'Data input'!K29</f>
        <v>55</v>
      </c>
      <c r="L21" s="67" t="str">
        <f>'Data input'!L29</f>
        <v>%</v>
      </c>
      <c r="N21" s="67"/>
      <c r="O21" s="67" t="s">
        <v>33</v>
      </c>
      <c r="P21" s="75">
        <f aca="true" t="shared" si="3" ref="P21:W21">(P7*18.4)</f>
        <v>196.6831807660001</v>
      </c>
      <c r="Q21" s="75">
        <f t="shared" si="3"/>
        <v>102.16042141624</v>
      </c>
      <c r="R21" s="75">
        <f t="shared" si="3"/>
        <v>99.48146841144</v>
      </c>
      <c r="S21" s="75">
        <f t="shared" si="3"/>
        <v>142.52909700024003</v>
      </c>
      <c r="T21" s="75">
        <f t="shared" si="3"/>
        <v>163.754630144</v>
      </c>
      <c r="U21" s="75">
        <f t="shared" si="3"/>
        <v>93.89170259424002</v>
      </c>
      <c r="V21" s="75">
        <f t="shared" si="3"/>
        <v>40.02064473599999</v>
      </c>
      <c r="W21" s="75">
        <f t="shared" si="3"/>
        <v>152.34258486903997</v>
      </c>
      <c r="X21" s="67" t="s">
        <v>115</v>
      </c>
      <c r="Y21" s="79"/>
    </row>
    <row r="22" spans="2:25" ht="15.75">
      <c r="B22" s="61"/>
      <c r="C22" s="67" t="s">
        <v>34</v>
      </c>
      <c r="D22" s="67">
        <f>'Data input'!D30</f>
        <v>60</v>
      </c>
      <c r="E22" s="67">
        <f>'Data input'!E30</f>
        <v>60</v>
      </c>
      <c r="F22" s="67">
        <f>'Data input'!F30</f>
        <v>60</v>
      </c>
      <c r="G22" s="67">
        <f>'Data input'!G30</f>
        <v>60</v>
      </c>
      <c r="H22" s="67">
        <f>'Data input'!H30</f>
        <v>60</v>
      </c>
      <c r="I22" s="67">
        <f>'Data input'!I30</f>
        <v>60</v>
      </c>
      <c r="J22" s="67">
        <f>'Data input'!J30</f>
        <v>60</v>
      </c>
      <c r="K22" s="67">
        <f>'Data input'!K30</f>
        <v>60</v>
      </c>
      <c r="L22" s="67" t="str">
        <f>'Data input'!L30</f>
        <v>%</v>
      </c>
      <c r="N22" s="67"/>
      <c r="O22" s="67" t="s">
        <v>34</v>
      </c>
      <c r="P22" s="75">
        <f aca="true" t="shared" si="4" ref="P22:W22">(P8*18.4)</f>
        <v>182.80591359999994</v>
      </c>
      <c r="Q22" s="75">
        <f t="shared" si="4"/>
        <v>57.67793259999999</v>
      </c>
      <c r="R22" s="75">
        <f t="shared" si="4"/>
        <v>57.39063458093999</v>
      </c>
      <c r="S22" s="75">
        <f t="shared" si="4"/>
        <v>110.59030310399996</v>
      </c>
      <c r="T22" s="75">
        <f t="shared" si="4"/>
        <v>140.62126859999998</v>
      </c>
      <c r="U22" s="75">
        <f t="shared" si="4"/>
        <v>57.39063458093999</v>
      </c>
      <c r="V22" s="75">
        <f t="shared" si="4"/>
        <v>57.39063458093999</v>
      </c>
      <c r="W22" s="75">
        <f t="shared" si="4"/>
        <v>131.40177979104004</v>
      </c>
      <c r="X22" s="67" t="s">
        <v>115</v>
      </c>
      <c r="Y22" s="79"/>
    </row>
    <row r="23" spans="2:25" ht="15.75">
      <c r="B23" s="61"/>
      <c r="C23" s="67" t="s">
        <v>35</v>
      </c>
      <c r="D23" s="67">
        <f>'Data input'!D31</f>
        <v>76</v>
      </c>
      <c r="E23" s="67">
        <f>'Data input'!E31</f>
        <v>76</v>
      </c>
      <c r="F23" s="67">
        <f>'Data input'!F31</f>
        <v>76</v>
      </c>
      <c r="G23" s="67">
        <f>'Data input'!G31</f>
        <v>76</v>
      </c>
      <c r="H23" s="67">
        <f>'Data input'!H31</f>
        <v>76</v>
      </c>
      <c r="I23" s="67">
        <f>'Data input'!I31</f>
        <v>76</v>
      </c>
      <c r="J23" s="67">
        <f>'Data input'!J31</f>
        <v>76</v>
      </c>
      <c r="K23" s="67">
        <f>'Data input'!K31</f>
        <v>76</v>
      </c>
      <c r="L23" s="67" t="str">
        <f>'Data input'!L31</f>
        <v>%</v>
      </c>
      <c r="N23" s="67"/>
      <c r="O23" s="67" t="s">
        <v>35</v>
      </c>
      <c r="P23" s="75">
        <f aca="true" t="shared" si="5" ref="P23:W23">(P9*18.4)</f>
        <v>185.51387964383989</v>
      </c>
      <c r="Q23" s="75">
        <f t="shared" si="5"/>
        <v>72.19001835</v>
      </c>
      <c r="R23" s="75">
        <f t="shared" si="5"/>
        <v>68.11197036983998</v>
      </c>
      <c r="S23" s="75">
        <f t="shared" si="5"/>
        <v>109.62347472863996</v>
      </c>
      <c r="T23" s="75">
        <f t="shared" si="5"/>
        <v>145.67731421184</v>
      </c>
      <c r="U23" s="75">
        <f t="shared" si="5"/>
        <v>68.11197036983998</v>
      </c>
      <c r="V23" s="75">
        <f t="shared" si="5"/>
        <v>68.11197036983998</v>
      </c>
      <c r="W23" s="75">
        <f t="shared" si="5"/>
        <v>142.52909700024003</v>
      </c>
      <c r="X23" s="67" t="s">
        <v>115</v>
      </c>
      <c r="Y23" s="79"/>
    </row>
    <row r="24" spans="2:25" ht="15.75">
      <c r="B24" s="61"/>
      <c r="C24" s="67"/>
      <c r="D24" s="67"/>
      <c r="E24" s="67"/>
      <c r="F24" s="67"/>
      <c r="G24" s="67"/>
      <c r="H24" s="67"/>
      <c r="I24" s="67"/>
      <c r="J24" s="68"/>
      <c r="K24" s="67"/>
      <c r="L24" s="67"/>
      <c r="N24" s="67"/>
      <c r="O24" s="67"/>
      <c r="P24" s="67"/>
      <c r="Q24" s="67"/>
      <c r="R24" s="67"/>
      <c r="S24" s="67"/>
      <c r="T24" s="67"/>
      <c r="U24" s="67"/>
      <c r="V24" s="67"/>
      <c r="W24" s="67"/>
      <c r="X24" s="67"/>
      <c r="Y24" s="80"/>
    </row>
    <row r="25" spans="2:25" ht="15.75">
      <c r="B25" s="61" t="s">
        <v>162</v>
      </c>
      <c r="C25" s="67" t="s">
        <v>32</v>
      </c>
      <c r="D25" s="67"/>
      <c r="E25" s="67"/>
      <c r="F25" s="67"/>
      <c r="G25" s="67"/>
      <c r="H25" s="67">
        <f>'Data input'!G54</f>
        <v>0.85</v>
      </c>
      <c r="I25" s="67"/>
      <c r="J25" s="68"/>
      <c r="K25" s="67"/>
      <c r="L25" s="67"/>
      <c r="N25" s="61" t="s">
        <v>166</v>
      </c>
      <c r="O25" s="67"/>
      <c r="P25" s="61" t="s">
        <v>168</v>
      </c>
      <c r="Q25" s="67"/>
      <c r="R25" s="67"/>
      <c r="S25" s="67"/>
      <c r="T25" s="67"/>
      <c r="U25" s="67"/>
      <c r="V25" s="67"/>
      <c r="W25" s="67"/>
      <c r="X25" s="67"/>
      <c r="Y25" s="79" t="s">
        <v>167</v>
      </c>
    </row>
    <row r="26" spans="2:25" ht="15.75">
      <c r="B26" s="61"/>
      <c r="C26" s="67" t="s">
        <v>33</v>
      </c>
      <c r="D26" s="67"/>
      <c r="E26" s="67"/>
      <c r="F26" s="67"/>
      <c r="G26" s="67"/>
      <c r="H26" s="67">
        <f>'Data input'!G55</f>
        <v>0.85</v>
      </c>
      <c r="I26" s="67"/>
      <c r="J26" s="68"/>
      <c r="K26" s="67"/>
      <c r="L26" s="67"/>
      <c r="N26" s="67"/>
      <c r="O26" s="67" t="s">
        <v>32</v>
      </c>
      <c r="P26" s="76">
        <f>P6/(1.185+(0.00454*D15)-(0.0000026*(D15)^2)+((0.315*0)))^2</f>
        <v>1.2313612256153517</v>
      </c>
      <c r="Q26" s="76">
        <f aca="true" t="shared" si="6" ref="Q26:W26">Q6/(1.185+(0.00454*E15)-(0.0000026*(E15)^2)+((0.315*0)))^2</f>
        <v>1.346998277318202</v>
      </c>
      <c r="R26" s="76">
        <f t="shared" si="6"/>
        <v>1.3527343878984126</v>
      </c>
      <c r="S26" s="76">
        <f t="shared" si="6"/>
        <v>1.2533093130464572</v>
      </c>
      <c r="T26" s="76">
        <f t="shared" si="6"/>
        <v>1.538188229502501</v>
      </c>
      <c r="U26" s="76">
        <f t="shared" si="6"/>
        <v>1.3527343878984126</v>
      </c>
      <c r="V26" s="76">
        <f t="shared" si="6"/>
        <v>1.3527343878984126</v>
      </c>
      <c r="W26" s="76">
        <f t="shared" si="6"/>
        <v>1.179145261283263</v>
      </c>
      <c r="X26" s="67" t="s">
        <v>157</v>
      </c>
      <c r="Y26" s="79"/>
    </row>
    <row r="27" spans="2:25" ht="15.75">
      <c r="B27" s="61"/>
      <c r="C27" s="67" t="s">
        <v>34</v>
      </c>
      <c r="D27" s="67"/>
      <c r="E27" s="67"/>
      <c r="F27" s="67"/>
      <c r="G27" s="67"/>
      <c r="H27" s="67">
        <f>'Data input'!G56</f>
        <v>0</v>
      </c>
      <c r="I27" s="67"/>
      <c r="J27" s="68"/>
      <c r="K27" s="67"/>
      <c r="L27" s="67"/>
      <c r="N27" s="67"/>
      <c r="O27" s="67" t="s">
        <v>33</v>
      </c>
      <c r="P27" s="76">
        <f>P7/(1.185+(0.00454*D16)-(0.0000026*(D16)^2)+((0.315*0)))^2</f>
        <v>1.0667551897492218</v>
      </c>
      <c r="Q27" s="76">
        <f aca="true" t="shared" si="7" ref="Q27:W29">Q7/(1.185+(0.00454*E16)-(0.0000026*(E16)^2)+((0.315*0)))^2</f>
        <v>1.0944331536697551</v>
      </c>
      <c r="R27" s="76">
        <f t="shared" si="7"/>
        <v>1.0957855575253286</v>
      </c>
      <c r="S27" s="76">
        <f t="shared" si="7"/>
        <v>1.0791019412004894</v>
      </c>
      <c r="T27" s="76">
        <f t="shared" si="7"/>
        <v>1.0615210897312626</v>
      </c>
      <c r="U27" s="76">
        <f t="shared" si="7"/>
        <v>1.0642997380149821</v>
      </c>
      <c r="V27" s="76">
        <f t="shared" si="7"/>
        <v>1.1010437042765746</v>
      </c>
      <c r="W27" s="76">
        <f t="shared" si="7"/>
        <v>1.0245262857063089</v>
      </c>
      <c r="X27" s="67" t="s">
        <v>157</v>
      </c>
      <c r="Y27" s="79"/>
    </row>
    <row r="28" spans="2:25" ht="15.75">
      <c r="B28" s="61"/>
      <c r="C28" s="67" t="s">
        <v>35</v>
      </c>
      <c r="D28" s="67"/>
      <c r="E28" s="67"/>
      <c r="F28" s="67"/>
      <c r="G28" s="67"/>
      <c r="H28" s="67">
        <f>'Data input'!G57</f>
        <v>0</v>
      </c>
      <c r="I28" s="67"/>
      <c r="J28" s="68"/>
      <c r="K28" s="67"/>
      <c r="L28" s="67"/>
      <c r="N28" s="67"/>
      <c r="O28" s="67" t="s">
        <v>34</v>
      </c>
      <c r="P28" s="76">
        <f>P8/(1.185+(0.00454*D17)-(0.0000026*(D17)^2)+((0.315*0)))^2</f>
        <v>1.0412058536221376</v>
      </c>
      <c r="Q28" s="76">
        <f t="shared" si="7"/>
        <v>1.204822661043313</v>
      </c>
      <c r="R28" s="76">
        <f t="shared" si="7"/>
        <v>1.229367205551975</v>
      </c>
      <c r="S28" s="76">
        <f t="shared" si="7"/>
        <v>1.1234350255113625</v>
      </c>
      <c r="T28" s="76">
        <f t="shared" si="7"/>
        <v>1.0471845951459506</v>
      </c>
      <c r="U28" s="76">
        <f t="shared" si="7"/>
        <v>1.229367205551975</v>
      </c>
      <c r="V28" s="76">
        <f t="shared" si="7"/>
        <v>1.229367205551975</v>
      </c>
      <c r="W28" s="76">
        <f t="shared" si="7"/>
        <v>1.0488710073408023</v>
      </c>
      <c r="X28" s="67" t="s">
        <v>157</v>
      </c>
      <c r="Y28" s="79"/>
    </row>
    <row r="29" spans="2:25" ht="15.75">
      <c r="B29" s="61"/>
      <c r="C29" s="67"/>
      <c r="D29" s="67"/>
      <c r="E29" s="67"/>
      <c r="F29" s="67"/>
      <c r="G29" s="67"/>
      <c r="H29" s="67"/>
      <c r="I29" s="67"/>
      <c r="J29" s="68"/>
      <c r="K29" s="67"/>
      <c r="L29" s="67"/>
      <c r="N29" s="67"/>
      <c r="O29" s="67" t="s">
        <v>35</v>
      </c>
      <c r="P29" s="76">
        <f>P9/(1.185+(0.00454*D18)-(0.0000026*(D18)^2)+((0.315*0)))^2</f>
        <v>1.0451217071676906</v>
      </c>
      <c r="Q29" s="76">
        <f t="shared" si="7"/>
        <v>1.200888586629018</v>
      </c>
      <c r="R29" s="76">
        <f t="shared" si="7"/>
        <v>1.1820497849124583</v>
      </c>
      <c r="S29" s="76">
        <f t="shared" si="7"/>
        <v>1.059296426889783</v>
      </c>
      <c r="T29" s="76">
        <f t="shared" si="7"/>
        <v>1.0511393444332666</v>
      </c>
      <c r="U29" s="76">
        <f t="shared" si="7"/>
        <v>1.1820497849124583</v>
      </c>
      <c r="V29" s="76">
        <f t="shared" si="7"/>
        <v>1.1820497849124583</v>
      </c>
      <c r="W29" s="76">
        <f t="shared" si="7"/>
        <v>1.0791019412004894</v>
      </c>
      <c r="X29" s="67" t="s">
        <v>157</v>
      </c>
      <c r="Y29" s="79"/>
    </row>
    <row r="30" spans="2:25" ht="15.75">
      <c r="B30" s="61" t="s">
        <v>163</v>
      </c>
      <c r="C30" s="67" t="s">
        <v>32</v>
      </c>
      <c r="D30" s="67"/>
      <c r="E30" s="67"/>
      <c r="F30" s="67"/>
      <c r="G30" s="67"/>
      <c r="H30" s="67">
        <f>'Data input'!I54</f>
        <v>1.3</v>
      </c>
      <c r="I30" s="67"/>
      <c r="J30" s="68"/>
      <c r="K30" s="67"/>
      <c r="L30" s="67"/>
      <c r="N30" s="67"/>
      <c r="O30" s="67"/>
      <c r="P30" s="67"/>
      <c r="Q30" s="67"/>
      <c r="R30" s="67"/>
      <c r="S30" s="67"/>
      <c r="T30" s="67"/>
      <c r="U30" s="67"/>
      <c r="V30" s="67"/>
      <c r="W30" s="67"/>
      <c r="X30" s="67"/>
      <c r="Y30" s="79"/>
    </row>
    <row r="31" spans="2:25" ht="15.75">
      <c r="B31" s="61"/>
      <c r="C31" s="67" t="s">
        <v>33</v>
      </c>
      <c r="D31" s="67"/>
      <c r="E31" s="67"/>
      <c r="F31" s="67"/>
      <c r="G31" s="67"/>
      <c r="H31" s="67">
        <f>'Data input'!I55</f>
        <v>1.1</v>
      </c>
      <c r="I31" s="67"/>
      <c r="J31" s="68"/>
      <c r="K31" s="67"/>
      <c r="L31" s="67"/>
      <c r="N31" s="61" t="s">
        <v>116</v>
      </c>
      <c r="O31" s="67"/>
      <c r="P31" s="61" t="s">
        <v>170</v>
      </c>
      <c r="Q31" s="67"/>
      <c r="R31" s="67"/>
      <c r="S31" s="67"/>
      <c r="T31" s="67"/>
      <c r="U31" s="67"/>
      <c r="V31" s="67"/>
      <c r="W31" s="67"/>
      <c r="X31" s="67"/>
      <c r="Y31" s="79" t="s">
        <v>169</v>
      </c>
    </row>
    <row r="32" spans="2:25" ht="15.75">
      <c r="B32" s="61"/>
      <c r="C32" s="67" t="s">
        <v>34</v>
      </c>
      <c r="D32" s="67"/>
      <c r="E32" s="67"/>
      <c r="F32" s="67"/>
      <c r="G32" s="67"/>
      <c r="H32" s="67">
        <f>'Data input'!I56</f>
        <v>0</v>
      </c>
      <c r="I32" s="67"/>
      <c r="J32" s="68"/>
      <c r="K32" s="67"/>
      <c r="L32" s="67"/>
      <c r="N32" s="67"/>
      <c r="O32" s="67" t="s">
        <v>32</v>
      </c>
      <c r="P32" s="74">
        <f>1.3+(0.112*D20)+P26*(2.37-(0.05*D20))</f>
        <v>8.252881202246979</v>
      </c>
      <c r="Q32" s="74">
        <f aca="true" t="shared" si="8" ref="Q32:W32">1.3+(0.112*E20)+Q26*(2.37-(0.05*E20))</f>
        <v>8.064392807971332</v>
      </c>
      <c r="R32" s="74">
        <f t="shared" si="8"/>
        <v>8.055042947725589</v>
      </c>
      <c r="S32" s="74">
        <f t="shared" si="8"/>
        <v>8.217105819734277</v>
      </c>
      <c r="T32" s="74">
        <f t="shared" si="8"/>
        <v>7.752753185910925</v>
      </c>
      <c r="U32" s="74">
        <f t="shared" si="8"/>
        <v>8.055042947725589</v>
      </c>
      <c r="V32" s="74">
        <f t="shared" si="8"/>
        <v>8.055042947725589</v>
      </c>
      <c r="W32" s="74">
        <f t="shared" si="8"/>
        <v>8.337993224108283</v>
      </c>
      <c r="X32" s="67" t="s">
        <v>88</v>
      </c>
      <c r="Y32" s="79"/>
    </row>
    <row r="33" spans="2:25" ht="15.75">
      <c r="B33" s="69"/>
      <c r="C33" s="70" t="s">
        <v>35</v>
      </c>
      <c r="D33" s="70"/>
      <c r="E33" s="70"/>
      <c r="F33" s="70"/>
      <c r="G33" s="70"/>
      <c r="H33" s="70">
        <f>'Data input'!I57</f>
        <v>0</v>
      </c>
      <c r="I33" s="70"/>
      <c r="J33" s="71"/>
      <c r="K33" s="70"/>
      <c r="L33" s="70"/>
      <c r="N33" s="67"/>
      <c r="O33" s="67" t="s">
        <v>33</v>
      </c>
      <c r="P33" s="74">
        <f>1.3+(0.112*D21)+P27*(2.37-(0.05*D21))</f>
        <v>7.054633027895296</v>
      </c>
      <c r="Q33" s="74">
        <f aca="true" t="shared" si="9" ref="Q33:W35">1.3+(0.112*E21)+Q27*(2.37-(0.05*E21))</f>
        <v>7.044115401605493</v>
      </c>
      <c r="R33" s="74">
        <f t="shared" si="9"/>
        <v>7.043601488140375</v>
      </c>
      <c r="S33" s="74">
        <f t="shared" si="9"/>
        <v>7.049941262343814</v>
      </c>
      <c r="T33" s="74">
        <f t="shared" si="9"/>
        <v>7.056621985902121</v>
      </c>
      <c r="U33" s="74">
        <f t="shared" si="9"/>
        <v>7.055566099554307</v>
      </c>
      <c r="V33" s="74">
        <f t="shared" si="9"/>
        <v>7.041603392374902</v>
      </c>
      <c r="W33" s="74">
        <f t="shared" si="9"/>
        <v>7.070680011431603</v>
      </c>
      <c r="X33" s="67" t="s">
        <v>88</v>
      </c>
      <c r="Y33" s="79"/>
    </row>
    <row r="34" spans="2:25" ht="15.75">
      <c r="B34" s="50"/>
      <c r="J34" s="58"/>
      <c r="N34" s="67"/>
      <c r="O34" s="67" t="s">
        <v>34</v>
      </c>
      <c r="P34" s="74">
        <f>1.3+(0.112*D22)+P28*(2.37-(0.05*D22))</f>
        <v>7.364040312218053</v>
      </c>
      <c r="Q34" s="74">
        <f t="shared" si="9"/>
        <v>7.260961723542713</v>
      </c>
      <c r="R34" s="74">
        <f t="shared" si="9"/>
        <v>7.245498660502255</v>
      </c>
      <c r="S34" s="74">
        <f t="shared" si="9"/>
        <v>7.312235933927841</v>
      </c>
      <c r="T34" s="74">
        <f t="shared" si="9"/>
        <v>7.3602737050580505</v>
      </c>
      <c r="U34" s="74">
        <f t="shared" si="9"/>
        <v>7.245498660502255</v>
      </c>
      <c r="V34" s="74">
        <f t="shared" si="9"/>
        <v>7.245498660502255</v>
      </c>
      <c r="W34" s="74">
        <f t="shared" si="9"/>
        <v>7.359211265375294</v>
      </c>
      <c r="X34" s="67" t="s">
        <v>88</v>
      </c>
      <c r="Y34" s="79"/>
    </row>
    <row r="35" spans="2:25" ht="15.75">
      <c r="B35" s="50"/>
      <c r="J35" s="58"/>
      <c r="N35" s="67"/>
      <c r="O35" s="67" t="s">
        <v>35</v>
      </c>
      <c r="P35" s="74">
        <f>1.3+(0.112*D23)+P29*(2.37-(0.05*D23))</f>
        <v>8.317475958750203</v>
      </c>
      <c r="Q35" s="74">
        <f t="shared" si="9"/>
        <v>8.094729321120505</v>
      </c>
      <c r="R35" s="74">
        <f t="shared" si="9"/>
        <v>8.121668807575185</v>
      </c>
      <c r="S35" s="74">
        <f t="shared" si="9"/>
        <v>8.297206109547611</v>
      </c>
      <c r="T35" s="74">
        <f t="shared" si="9"/>
        <v>8.30887073746043</v>
      </c>
      <c r="U35" s="74">
        <f t="shared" si="9"/>
        <v>8.121668807575185</v>
      </c>
      <c r="V35" s="74">
        <f t="shared" si="9"/>
        <v>8.121668807575185</v>
      </c>
      <c r="W35" s="74">
        <f t="shared" si="9"/>
        <v>8.268884224083301</v>
      </c>
      <c r="X35" s="67" t="s">
        <v>88</v>
      </c>
      <c r="Y35" s="79"/>
    </row>
    <row r="36" spans="2:25" ht="15.75">
      <c r="B36" s="50"/>
      <c r="J36" s="58"/>
      <c r="N36" s="67"/>
      <c r="O36" s="67"/>
      <c r="P36" s="67"/>
      <c r="Q36" s="67"/>
      <c r="R36" s="67"/>
      <c r="S36" s="67"/>
      <c r="T36" s="67"/>
      <c r="U36" s="67"/>
      <c r="V36" s="67"/>
      <c r="W36" s="67"/>
      <c r="X36" s="67"/>
      <c r="Y36" s="79"/>
    </row>
    <row r="37" spans="14:25" ht="15.75">
      <c r="N37" s="61" t="s">
        <v>173</v>
      </c>
      <c r="O37" s="61" t="s">
        <v>117</v>
      </c>
      <c r="P37" s="77"/>
      <c r="Q37" s="67"/>
      <c r="R37" s="67"/>
      <c r="S37" s="67"/>
      <c r="T37" s="67"/>
      <c r="U37" s="67"/>
      <c r="V37" s="67"/>
      <c r="W37" s="67"/>
      <c r="X37" s="67"/>
      <c r="Y37" s="79" t="s">
        <v>171</v>
      </c>
    </row>
    <row r="38" spans="14:25" ht="15.75">
      <c r="N38" s="67"/>
      <c r="O38" s="67" t="s">
        <v>32</v>
      </c>
      <c r="P38" s="76">
        <f>(P32/100)*(P20/55.22)</f>
        <v>0.3380381391587913</v>
      </c>
      <c r="Q38" s="76">
        <f aca="true" t="shared" si="10" ref="Q38:W38">(Q32/100)*(Q20/55.22)</f>
        <v>0.1684851944272509</v>
      </c>
      <c r="R38" s="76">
        <f t="shared" si="10"/>
        <v>0.16392842946053618</v>
      </c>
      <c r="S38" s="76">
        <f t="shared" si="10"/>
        <v>0.23364683966871524</v>
      </c>
      <c r="T38" s="76">
        <f t="shared" si="10"/>
        <v>0.33696247151978037</v>
      </c>
      <c r="U38" s="76">
        <f t="shared" si="10"/>
        <v>0.16392842946053618</v>
      </c>
      <c r="V38" s="76">
        <f t="shared" si="10"/>
        <v>0.16392842946053618</v>
      </c>
      <c r="W38" s="76">
        <f t="shared" si="10"/>
        <v>0.2612899541210839</v>
      </c>
      <c r="X38" s="67" t="s">
        <v>172</v>
      </c>
      <c r="Y38" s="79"/>
    </row>
    <row r="39" spans="14:25" ht="15.75">
      <c r="N39" s="67"/>
      <c r="O39" s="67" t="s">
        <v>33</v>
      </c>
      <c r="P39" s="76">
        <f aca="true" t="shared" si="11" ref="P39:W39">(P33/100)*(P21/55.22)</f>
        <v>0.25127266625558226</v>
      </c>
      <c r="Q39" s="76">
        <f t="shared" si="11"/>
        <v>0.13032049944452082</v>
      </c>
      <c r="R39" s="76">
        <f t="shared" si="11"/>
        <v>0.12689384624143582</v>
      </c>
      <c r="S39" s="76">
        <f t="shared" si="11"/>
        <v>0.18196699783169068</v>
      </c>
      <c r="T39" s="76">
        <f t="shared" si="11"/>
        <v>0.2092637673609961</v>
      </c>
      <c r="U39" s="76">
        <f t="shared" si="11"/>
        <v>0.11996724263914434</v>
      </c>
      <c r="V39" s="76">
        <f t="shared" si="11"/>
        <v>0.051033956490048576</v>
      </c>
      <c r="W39" s="76">
        <f t="shared" si="11"/>
        <v>0.19506803146022156</v>
      </c>
      <c r="X39" s="67" t="s">
        <v>172</v>
      </c>
      <c r="Y39" s="79"/>
    </row>
    <row r="40" spans="1:25" ht="15.75">
      <c r="A40" s="39"/>
      <c r="C40" s="53"/>
      <c r="D40" s="53"/>
      <c r="E40" s="53"/>
      <c r="F40" s="53"/>
      <c r="G40" s="53"/>
      <c r="H40" s="53"/>
      <c r="I40" s="53"/>
      <c r="N40" s="67"/>
      <c r="O40" s="67" t="s">
        <v>34</v>
      </c>
      <c r="P40" s="76">
        <f aca="true" t="shared" si="12" ref="P40:W40">(P34/100)*(P22/55.22)</f>
        <v>0.24378669269508335</v>
      </c>
      <c r="Q40" s="76">
        <f t="shared" si="12"/>
        <v>0.07584159016690988</v>
      </c>
      <c r="R40" s="76">
        <f t="shared" si="12"/>
        <v>0.07530310865294731</v>
      </c>
      <c r="S40" s="76">
        <f t="shared" si="12"/>
        <v>0.1464437501450634</v>
      </c>
      <c r="T40" s="76">
        <f t="shared" si="12"/>
        <v>0.18743408649918236</v>
      </c>
      <c r="U40" s="76">
        <f t="shared" si="12"/>
        <v>0.07530310865294731</v>
      </c>
      <c r="V40" s="76">
        <f t="shared" si="12"/>
        <v>0.07530310865294731</v>
      </c>
      <c r="W40" s="76">
        <f t="shared" si="12"/>
        <v>0.17512014815801982</v>
      </c>
      <c r="X40" s="67" t="s">
        <v>172</v>
      </c>
      <c r="Y40" s="79"/>
    </row>
    <row r="41" spans="3:25" ht="15.75">
      <c r="C41" s="53"/>
      <c r="D41" s="53"/>
      <c r="E41" s="53"/>
      <c r="F41" s="53"/>
      <c r="G41" s="53"/>
      <c r="H41" s="53"/>
      <c r="I41" s="53"/>
      <c r="N41" s="67"/>
      <c r="O41" s="67" t="s">
        <v>35</v>
      </c>
      <c r="P41" s="76">
        <f aca="true" t="shared" si="13" ref="P41:W41">(P35/100)*(P23/55.22)</f>
        <v>0.27942905359509546</v>
      </c>
      <c r="Q41" s="76">
        <f t="shared" si="13"/>
        <v>0.10582373383375088</v>
      </c>
      <c r="R41" s="76">
        <f t="shared" si="13"/>
        <v>0.10017799079594614</v>
      </c>
      <c r="S41" s="76">
        <f t="shared" si="13"/>
        <v>0.16471723365959973</v>
      </c>
      <c r="T41" s="76">
        <f t="shared" si="13"/>
        <v>0.2191984739526595</v>
      </c>
      <c r="U41" s="76">
        <f t="shared" si="13"/>
        <v>0.10017799079594614</v>
      </c>
      <c r="V41" s="76">
        <f t="shared" si="13"/>
        <v>0.10017799079594614</v>
      </c>
      <c r="W41" s="76">
        <f t="shared" si="13"/>
        <v>0.21342930127818238</v>
      </c>
      <c r="X41" s="67" t="s">
        <v>172</v>
      </c>
      <c r="Y41" s="79"/>
    </row>
    <row r="42" spans="3:25" ht="15.75">
      <c r="C42" s="53"/>
      <c r="D42" s="53"/>
      <c r="E42" s="53"/>
      <c r="F42" s="53"/>
      <c r="G42" s="53"/>
      <c r="H42" s="53"/>
      <c r="I42" s="53"/>
      <c r="N42" s="67"/>
      <c r="O42" s="67"/>
      <c r="P42" s="67"/>
      <c r="Q42" s="67"/>
      <c r="R42" s="67"/>
      <c r="S42" s="67"/>
      <c r="T42" s="67"/>
      <c r="U42" s="67"/>
      <c r="V42" s="67"/>
      <c r="W42" s="67"/>
      <c r="X42" s="67"/>
      <c r="Y42" s="79"/>
    </row>
    <row r="43" spans="3:25" ht="15.75">
      <c r="C43" s="53"/>
      <c r="D43" s="53"/>
      <c r="E43" s="53"/>
      <c r="F43" s="53"/>
      <c r="G43" s="53"/>
      <c r="H43" s="53"/>
      <c r="I43" s="53"/>
      <c r="N43" s="61" t="s">
        <v>174</v>
      </c>
      <c r="O43" s="61" t="s">
        <v>175</v>
      </c>
      <c r="P43" s="67"/>
      <c r="Q43" s="67"/>
      <c r="R43" s="67"/>
      <c r="S43" s="67"/>
      <c r="T43" s="67"/>
      <c r="U43" s="67"/>
      <c r="V43" s="67"/>
      <c r="W43" s="67"/>
      <c r="X43" s="67"/>
      <c r="Y43" s="79" t="s">
        <v>176</v>
      </c>
    </row>
    <row r="44" spans="3:25" ht="15.75">
      <c r="C44" s="51"/>
      <c r="D44" s="51"/>
      <c r="N44" s="67"/>
      <c r="O44" s="67" t="s">
        <v>32</v>
      </c>
      <c r="P44" s="76">
        <f>(34.9*P6-30.8)/1000</f>
        <v>0.3982067396536399</v>
      </c>
      <c r="Q44" s="76">
        <f aca="true" t="shared" si="14" ref="Q44:W44">(34.9*Q6-30.8)/1000</f>
        <v>0.18802355840000004</v>
      </c>
      <c r="R44" s="76">
        <f t="shared" si="14"/>
        <v>0.1823524967064399</v>
      </c>
      <c r="S44" s="76">
        <f t="shared" si="14"/>
        <v>0.2670139504618901</v>
      </c>
      <c r="T44" s="76">
        <f t="shared" si="14"/>
        <v>0.4244286461326139</v>
      </c>
      <c r="U44" s="76">
        <f t="shared" si="14"/>
        <v>0.1823524967064399</v>
      </c>
      <c r="V44" s="76">
        <f t="shared" si="14"/>
        <v>0.1823524967064399</v>
      </c>
      <c r="W44" s="76">
        <f t="shared" si="14"/>
        <v>0.29742010570788996</v>
      </c>
      <c r="X44" s="67" t="s">
        <v>172</v>
      </c>
      <c r="Y44" s="79"/>
    </row>
    <row r="45" spans="1:25" ht="15.75">
      <c r="A45" s="39"/>
      <c r="C45" s="53"/>
      <c r="D45" s="53"/>
      <c r="E45" s="53"/>
      <c r="F45" s="53"/>
      <c r="G45" s="53"/>
      <c r="H45" s="53"/>
      <c r="I45" s="53"/>
      <c r="N45" s="67"/>
      <c r="O45" s="67" t="s">
        <v>33</v>
      </c>
      <c r="P45" s="76">
        <f aca="true" t="shared" si="15" ref="P45:W45">(34.9*P7-30.8)/1000</f>
        <v>0.34225668525725017</v>
      </c>
      <c r="Q45" s="76">
        <f t="shared" si="15"/>
        <v>0.16297166888189</v>
      </c>
      <c r="R45" s="76">
        <f t="shared" si="15"/>
        <v>0.15789039388909</v>
      </c>
      <c r="S45" s="76">
        <f t="shared" si="15"/>
        <v>0.23954051550589003</v>
      </c>
      <c r="T45" s="76">
        <f t="shared" si="15"/>
        <v>0.279799814784</v>
      </c>
      <c r="U45" s="76">
        <f t="shared" si="15"/>
        <v>0.14728806633364006</v>
      </c>
      <c r="V45" s="76">
        <f t="shared" si="15"/>
        <v>0.045108722895999986</v>
      </c>
      <c r="W45" s="76">
        <f t="shared" si="15"/>
        <v>0.25815414195268993</v>
      </c>
      <c r="X45" s="67" t="s">
        <v>172</v>
      </c>
      <c r="Y45" s="79"/>
    </row>
    <row r="46" spans="3:25" ht="15.75">
      <c r="C46" s="53"/>
      <c r="D46" s="53"/>
      <c r="E46" s="53"/>
      <c r="F46" s="53"/>
      <c r="G46" s="53"/>
      <c r="H46" s="53"/>
      <c r="I46" s="53"/>
      <c r="N46" s="67"/>
      <c r="O46" s="67" t="s">
        <v>34</v>
      </c>
      <c r="P46" s="76">
        <f aca="true" t="shared" si="16" ref="P46:W46">(34.9*P8-30.8)/1000</f>
        <v>0.31593512959999986</v>
      </c>
      <c r="Q46" s="76">
        <f t="shared" si="16"/>
        <v>0.07859999172499998</v>
      </c>
      <c r="R46" s="76">
        <f t="shared" si="16"/>
        <v>0.0780550623301525</v>
      </c>
      <c r="S46" s="76">
        <f t="shared" si="16"/>
        <v>0.1789609553439999</v>
      </c>
      <c r="T46" s="76">
        <f t="shared" si="16"/>
        <v>0.235921862725</v>
      </c>
      <c r="U46" s="76">
        <f t="shared" si="16"/>
        <v>0.0780550623301525</v>
      </c>
      <c r="V46" s="76">
        <f t="shared" si="16"/>
        <v>0.0780550623301525</v>
      </c>
      <c r="W46" s="76">
        <f t="shared" si="16"/>
        <v>0.2184348975384401</v>
      </c>
      <c r="X46" s="67" t="s">
        <v>172</v>
      </c>
      <c r="Y46" s="79"/>
    </row>
    <row r="47" spans="3:25" ht="15.75">
      <c r="C47" s="53"/>
      <c r="D47" s="53"/>
      <c r="E47" s="53"/>
      <c r="F47" s="53"/>
      <c r="G47" s="53"/>
      <c r="H47" s="53"/>
      <c r="I47" s="53"/>
      <c r="N47" s="67"/>
      <c r="O47" s="67" t="s">
        <v>35</v>
      </c>
      <c r="P47" s="76">
        <f aca="true" t="shared" si="17" ref="P47:W47">(34.9*P9-30.8)/1000</f>
        <v>0.3210714347592398</v>
      </c>
      <c r="Q47" s="76">
        <f t="shared" si="17"/>
        <v>0.10612563263125001</v>
      </c>
      <c r="R47" s="76">
        <f t="shared" si="17"/>
        <v>0.09839063945148997</v>
      </c>
      <c r="S47" s="76">
        <f t="shared" si="17"/>
        <v>0.17712713413203995</v>
      </c>
      <c r="T47" s="76">
        <f t="shared" si="17"/>
        <v>0.24551186228224003</v>
      </c>
      <c r="U47" s="76">
        <f t="shared" si="17"/>
        <v>0.09839063945148997</v>
      </c>
      <c r="V47" s="76">
        <f t="shared" si="17"/>
        <v>0.09839063945148997</v>
      </c>
      <c r="W47" s="76">
        <f t="shared" si="17"/>
        <v>0.23954051550589003</v>
      </c>
      <c r="X47" s="67" t="s">
        <v>172</v>
      </c>
      <c r="Y47" s="79"/>
    </row>
    <row r="48" spans="3:25" ht="15.75">
      <c r="C48" s="53"/>
      <c r="D48" s="53"/>
      <c r="E48" s="53"/>
      <c r="F48" s="53"/>
      <c r="G48" s="53"/>
      <c r="H48" s="53"/>
      <c r="I48" s="53"/>
      <c r="N48" s="67"/>
      <c r="O48" s="67"/>
      <c r="P48" s="67"/>
      <c r="Q48" s="67"/>
      <c r="R48" s="67"/>
      <c r="S48" s="67"/>
      <c r="T48" s="67"/>
      <c r="U48" s="67"/>
      <c r="V48" s="67"/>
      <c r="W48" s="67"/>
      <c r="X48" s="67"/>
      <c r="Y48" s="79"/>
    </row>
    <row r="49" spans="1:25" ht="15.75">
      <c r="A49" s="39"/>
      <c r="B49" s="37"/>
      <c r="C49" s="52"/>
      <c r="D49" s="52"/>
      <c r="E49" s="52"/>
      <c r="F49" s="52"/>
      <c r="G49" s="52"/>
      <c r="H49" s="52"/>
      <c r="I49" s="52"/>
      <c r="N49" s="67"/>
      <c r="O49" s="67"/>
      <c r="P49" s="67"/>
      <c r="Q49" s="67"/>
      <c r="R49" s="67"/>
      <c r="S49" s="67"/>
      <c r="T49" s="67"/>
      <c r="U49" s="67"/>
      <c r="V49" s="67"/>
      <c r="W49" s="67"/>
      <c r="X49" s="67"/>
      <c r="Y49" s="79"/>
    </row>
    <row r="50" spans="2:25" ht="15.75">
      <c r="B50" s="37"/>
      <c r="C50" s="52"/>
      <c r="D50" s="52"/>
      <c r="E50" s="52"/>
      <c r="F50" s="52"/>
      <c r="G50" s="52"/>
      <c r="H50" s="52"/>
      <c r="I50" s="52"/>
      <c r="N50" s="61" t="s">
        <v>177</v>
      </c>
      <c r="O50" s="67"/>
      <c r="P50" s="67"/>
      <c r="Q50" s="67"/>
      <c r="R50" s="67"/>
      <c r="S50" s="67"/>
      <c r="T50" s="67"/>
      <c r="U50" s="67"/>
      <c r="V50" s="67"/>
      <c r="W50" s="67"/>
      <c r="X50" s="67"/>
      <c r="Y50" s="79"/>
    </row>
    <row r="51" spans="2:25" ht="15.75">
      <c r="B51" s="37"/>
      <c r="C51" s="52"/>
      <c r="D51" s="52"/>
      <c r="E51" s="52"/>
      <c r="F51" s="52"/>
      <c r="G51" s="52"/>
      <c r="H51" s="52"/>
      <c r="I51" s="52"/>
      <c r="N51" s="67"/>
      <c r="O51" s="67" t="s">
        <v>32</v>
      </c>
      <c r="P51" s="76">
        <f>IF('Data input'!$J54="Trop",'Enteric fermentation'!P44,'Enteric fermentation'!P38)</f>
        <v>0.3982067396536399</v>
      </c>
      <c r="Q51" s="76">
        <f>IF('Data input'!$J54="Trop",'Enteric fermentation'!Q44,'Enteric fermentation'!Q38)</f>
        <v>0.18802355840000004</v>
      </c>
      <c r="R51" s="76">
        <f>IF('Data input'!$J54="Trop",'Enteric fermentation'!R44,'Enteric fermentation'!R38)</f>
        <v>0.1823524967064399</v>
      </c>
      <c r="S51" s="76">
        <f>IF('Data input'!$J54="Trop",'Enteric fermentation'!S44,'Enteric fermentation'!S38)</f>
        <v>0.2670139504618901</v>
      </c>
      <c r="T51" s="76">
        <f>IF('Data input'!$J54="Trop",'Enteric fermentation'!T44,'Enteric fermentation'!T38)</f>
        <v>0.4244286461326139</v>
      </c>
      <c r="U51" s="76">
        <f>IF('Data input'!$J54="Trop",'Enteric fermentation'!U44,'Enteric fermentation'!U38)</f>
        <v>0.1823524967064399</v>
      </c>
      <c r="V51" s="76">
        <f>IF('Data input'!$J54="Trop",'Enteric fermentation'!V44,'Enteric fermentation'!V38)</f>
        <v>0.1823524967064399</v>
      </c>
      <c r="W51" s="76">
        <f>IF('Data input'!$J54="Trop",'Enteric fermentation'!W44,'Enteric fermentation'!W38)</f>
        <v>0.29742010570788996</v>
      </c>
      <c r="X51" s="67" t="s">
        <v>172</v>
      </c>
      <c r="Y51" s="79"/>
    </row>
    <row r="52" spans="2:25" ht="15.75">
      <c r="B52" s="37"/>
      <c r="C52" s="52"/>
      <c r="D52" s="52"/>
      <c r="E52" s="52"/>
      <c r="F52" s="52"/>
      <c r="G52" s="52"/>
      <c r="H52" s="52"/>
      <c r="I52" s="52"/>
      <c r="N52" s="67"/>
      <c r="O52" s="67" t="s">
        <v>33</v>
      </c>
      <c r="P52" s="76">
        <f>IF('Data input'!$J55="Trop",'Enteric fermentation'!P45,'Enteric fermentation'!P39)</f>
        <v>0.34225668525725017</v>
      </c>
      <c r="Q52" s="76">
        <f>IF('Data input'!$J55="Trop",'Enteric fermentation'!Q45,'Enteric fermentation'!Q39)</f>
        <v>0.16297166888189</v>
      </c>
      <c r="R52" s="76">
        <f>IF('Data input'!$J55="Trop",'Enteric fermentation'!R45,'Enteric fermentation'!R39)</f>
        <v>0.15789039388909</v>
      </c>
      <c r="S52" s="76">
        <f>IF('Data input'!$J55="Trop",'Enteric fermentation'!S45,'Enteric fermentation'!S39)</f>
        <v>0.23954051550589003</v>
      </c>
      <c r="T52" s="76">
        <f>IF('Data input'!$J55="Trop",'Enteric fermentation'!T45,'Enteric fermentation'!T39)</f>
        <v>0.279799814784</v>
      </c>
      <c r="U52" s="76">
        <f>IF('Data input'!$J55="Trop",'Enteric fermentation'!U45,'Enteric fermentation'!U39)</f>
        <v>0.14728806633364006</v>
      </c>
      <c r="V52" s="76">
        <f>IF('Data input'!$J55="Trop",'Enteric fermentation'!V45,'Enteric fermentation'!V39)</f>
        <v>0.045108722895999986</v>
      </c>
      <c r="W52" s="76">
        <f>IF('Data input'!$J55="Trop",'Enteric fermentation'!W45,'Enteric fermentation'!W39)</f>
        <v>0.25815414195268993</v>
      </c>
      <c r="X52" s="67" t="s">
        <v>172</v>
      </c>
      <c r="Y52" s="79"/>
    </row>
    <row r="53" spans="14:25" ht="15.75">
      <c r="N53" s="67"/>
      <c r="O53" s="67" t="s">
        <v>34</v>
      </c>
      <c r="P53" s="76">
        <f>IF('Data input'!$J56="Trop",'Enteric fermentation'!P46,'Enteric fermentation'!P40)</f>
        <v>0.31593512959999986</v>
      </c>
      <c r="Q53" s="76">
        <f>IF('Data input'!$J56="Trop",'Enteric fermentation'!Q46,'Enteric fermentation'!Q40)</f>
        <v>0.07859999172499998</v>
      </c>
      <c r="R53" s="76">
        <f>IF('Data input'!$J56="Trop",'Enteric fermentation'!R46,'Enteric fermentation'!R40)</f>
        <v>0.0780550623301525</v>
      </c>
      <c r="S53" s="76">
        <f>IF('Data input'!$J56="Trop",'Enteric fermentation'!S46,'Enteric fermentation'!S40)</f>
        <v>0.1789609553439999</v>
      </c>
      <c r="T53" s="76">
        <f>IF('Data input'!$J56="Trop",'Enteric fermentation'!T46,'Enteric fermentation'!T40)</f>
        <v>0.235921862725</v>
      </c>
      <c r="U53" s="76">
        <f>IF('Data input'!$J56="Trop",'Enteric fermentation'!U46,'Enteric fermentation'!U40)</f>
        <v>0.0780550623301525</v>
      </c>
      <c r="V53" s="76">
        <f>IF('Data input'!$J56="Trop",'Enteric fermentation'!V46,'Enteric fermentation'!V40)</f>
        <v>0.0780550623301525</v>
      </c>
      <c r="W53" s="76">
        <f>IF('Data input'!$J56="Trop",'Enteric fermentation'!W46,'Enteric fermentation'!W40)</f>
        <v>0.2184348975384401</v>
      </c>
      <c r="X53" s="67" t="s">
        <v>172</v>
      </c>
      <c r="Y53" s="79"/>
    </row>
    <row r="54" spans="1:25" ht="15.75">
      <c r="A54" s="50"/>
      <c r="N54" s="67"/>
      <c r="O54" s="67" t="s">
        <v>35</v>
      </c>
      <c r="P54" s="76">
        <f>IF('Data input'!$J57="Trop",'Enteric fermentation'!P47,'Enteric fermentation'!P41)</f>
        <v>0.3210714347592398</v>
      </c>
      <c r="Q54" s="76">
        <f>IF('Data input'!$J57="Trop",'Enteric fermentation'!Q47,'Enteric fermentation'!Q41)</f>
        <v>0.10612563263125001</v>
      </c>
      <c r="R54" s="76">
        <f>IF('Data input'!$J57="Trop",'Enteric fermentation'!R47,'Enteric fermentation'!R41)</f>
        <v>0.09839063945148997</v>
      </c>
      <c r="S54" s="76">
        <f>IF('Data input'!$J57="Trop",'Enteric fermentation'!S47,'Enteric fermentation'!S41)</f>
        <v>0.17712713413203995</v>
      </c>
      <c r="T54" s="76">
        <f>IF('Data input'!$J57="Trop",'Enteric fermentation'!T47,'Enteric fermentation'!T41)</f>
        <v>0.24551186228224003</v>
      </c>
      <c r="U54" s="76">
        <f>IF('Data input'!$J57="Trop",'Enteric fermentation'!U47,'Enteric fermentation'!U41)</f>
        <v>0.09839063945148997</v>
      </c>
      <c r="V54" s="76">
        <f>IF('Data input'!$J57="Trop",'Enteric fermentation'!V47,'Enteric fermentation'!V41)</f>
        <v>0.09839063945148997</v>
      </c>
      <c r="W54" s="76">
        <f>IF('Data input'!$J57="Trop",'Enteric fermentation'!W47,'Enteric fermentation'!W41)</f>
        <v>0.23954051550589003</v>
      </c>
      <c r="X54" s="67" t="s">
        <v>172</v>
      </c>
      <c r="Y54" s="79"/>
    </row>
    <row r="55" spans="14:25" ht="15.75">
      <c r="N55" s="67"/>
      <c r="O55" s="67"/>
      <c r="P55" s="67"/>
      <c r="Q55" s="67"/>
      <c r="R55" s="67"/>
      <c r="S55" s="67"/>
      <c r="T55" s="67"/>
      <c r="U55" s="67"/>
      <c r="V55" s="67"/>
      <c r="W55" s="67"/>
      <c r="X55" s="67"/>
      <c r="Y55" s="79"/>
    </row>
    <row r="56" spans="14:25" ht="15.75">
      <c r="N56" s="67"/>
      <c r="O56" s="67"/>
      <c r="P56" s="67"/>
      <c r="Q56" s="67"/>
      <c r="R56" s="67"/>
      <c r="S56" s="67"/>
      <c r="T56" s="67"/>
      <c r="U56" s="67"/>
      <c r="V56" s="67"/>
      <c r="W56" s="67"/>
      <c r="X56" s="67"/>
      <c r="Y56" s="79"/>
    </row>
    <row r="57" spans="14:25" ht="18.75">
      <c r="N57" s="61" t="s">
        <v>186</v>
      </c>
      <c r="O57" s="61" t="s">
        <v>440</v>
      </c>
      <c r="P57" s="67"/>
      <c r="Q57" s="67"/>
      <c r="R57" s="67"/>
      <c r="S57" s="67"/>
      <c r="T57" s="67"/>
      <c r="U57" s="67"/>
      <c r="V57" s="67"/>
      <c r="W57" s="67"/>
      <c r="X57" s="67"/>
      <c r="Y57" s="79" t="s">
        <v>178</v>
      </c>
    </row>
    <row r="58" spans="3:25" ht="15.75">
      <c r="C58" s="54"/>
      <c r="D58" s="54"/>
      <c r="E58" s="54"/>
      <c r="F58" s="54"/>
      <c r="G58" s="54"/>
      <c r="H58" s="54"/>
      <c r="I58" s="54"/>
      <c r="J58" s="55"/>
      <c r="N58" s="67"/>
      <c r="O58" s="67" t="s">
        <v>32</v>
      </c>
      <c r="P58" s="78">
        <f>91.25*'Enteric fermentation'!D5*'Enteric fermentation'!P51*10^-6</f>
        <v>0.0007267272998678928</v>
      </c>
      <c r="Q58" s="78">
        <f>91.25*'Enteric fermentation'!E5*'Enteric fermentation'!Q51*10^-6</f>
        <v>0.00068628598816</v>
      </c>
      <c r="R58" s="78">
        <f>91.25*'Enteric fermentation'!F5*'Enteric fermentation'!R51*10^-6</f>
        <v>0.0016639665324462642</v>
      </c>
      <c r="S58" s="78">
        <f>91.25*'Enteric fermentation'!G5*'Enteric fermentation'!S51*10^-6</f>
        <v>0.0012182511489823734</v>
      </c>
      <c r="T58" s="78">
        <f>91.25*'Enteric fermentation'!H5*'Enteric fermentation'!T51*10^-6</f>
        <v>0.007745822791920203</v>
      </c>
      <c r="U58" s="78">
        <f>91.25*'Enteric fermentation'!I5*'Enteric fermentation'!U51*10^-6</f>
        <v>0.0016639665324462642</v>
      </c>
      <c r="V58" s="78">
        <f>91.25*'Enteric fermentation'!J5*'Enteric fermentation'!V51*10^-6</f>
        <v>0.0016639665324462642</v>
      </c>
      <c r="W58" s="78">
        <f>91.25*'Enteric fermentation'!K5*'Enteric fermentation'!W51*10^-6</f>
        <v>0.0016283750787506974</v>
      </c>
      <c r="X58" s="67" t="s">
        <v>179</v>
      </c>
      <c r="Y58" s="79"/>
    </row>
    <row r="59" spans="3:25" ht="15.75">
      <c r="C59" s="54"/>
      <c r="D59" s="54"/>
      <c r="E59" s="54"/>
      <c r="F59" s="54"/>
      <c r="G59" s="54"/>
      <c r="H59" s="54"/>
      <c r="I59" s="54"/>
      <c r="J59" s="55"/>
      <c r="K59" s="44"/>
      <c r="L59" s="44"/>
      <c r="N59" s="67"/>
      <c r="O59" s="67" t="s">
        <v>33</v>
      </c>
      <c r="P59" s="78">
        <f>91.25*'Enteric fermentation'!D6*'Enteric fermentation'!P52*10^-6</f>
        <v>0.0006246184505944816</v>
      </c>
      <c r="Q59" s="78">
        <f>91.25*'Enteric fermentation'!E6*'Enteric fermentation'!Q52*10^-6</f>
        <v>0.0005948465914188984</v>
      </c>
      <c r="R59" s="78">
        <f>91.25*'Enteric fermentation'!F6*'Enteric fermentation'!R52*10^-6</f>
        <v>0.0014407498442379461</v>
      </c>
      <c r="S59" s="78">
        <f>91.25*'Enteric fermentation'!G6*'Enteric fermentation'!S52*10^-6</f>
        <v>0.0010929036019956234</v>
      </c>
      <c r="T59" s="78">
        <f>91.25*'Enteric fermentation'!H6*'Enteric fermentation'!T52*10^-6</f>
        <v>0.005106346619808</v>
      </c>
      <c r="U59" s="78">
        <f>91.25*'Enteric fermentation'!I6*'Enteric fermentation'!U52*10^-6</f>
        <v>0.0013440036052944655</v>
      </c>
      <c r="V59" s="78">
        <f>91.25*'Enteric fermentation'!J6*'Enteric fermentation'!V52*10^-6</f>
        <v>0.00041161709642599986</v>
      </c>
      <c r="W59" s="78">
        <f>91.25*'Enteric fermentation'!K6*'Enteric fermentation'!W52*10^-6</f>
        <v>0.0014133939271909774</v>
      </c>
      <c r="X59" s="67" t="s">
        <v>179</v>
      </c>
      <c r="Y59" s="79"/>
    </row>
    <row r="60" spans="10:25" ht="15.75">
      <c r="J60" s="55"/>
      <c r="N60" s="67"/>
      <c r="O60" s="67" t="s">
        <v>34</v>
      </c>
      <c r="P60" s="78">
        <f>91.25*'Enteric fermentation'!D7*'Enteric fermentation'!P53*10^-6</f>
        <v>0.0005765816115199997</v>
      </c>
      <c r="Q60" s="78">
        <f>91.25*'Enteric fermentation'!E7*'Enteric fermentation'!Q53*10^-6</f>
        <v>0.00028688996979624995</v>
      </c>
      <c r="R60" s="78">
        <f>91.25*'Enteric fermentation'!F7*'Enteric fermentation'!R53*10^-6</f>
        <v>0.0007122524437626415</v>
      </c>
      <c r="S60" s="78">
        <f>91.25*'Enteric fermentation'!G7*'Enteric fermentation'!S53*10^-6</f>
        <v>0.0008165093587569995</v>
      </c>
      <c r="T60" s="78">
        <f>91.25*'Enteric fermentation'!H7*'Enteric fermentation'!T53*10^-6</f>
        <v>0.00430557399473125</v>
      </c>
      <c r="U60" s="78">
        <f>91.25*'Enteric fermentation'!I7*'Enteric fermentation'!U53*10^-6</f>
        <v>0.0007122524437626415</v>
      </c>
      <c r="V60" s="78">
        <f>91.25*'Enteric fermentation'!J7*'Enteric fermentation'!V53*10^-6</f>
        <v>0.00035612622188132073</v>
      </c>
      <c r="W60" s="78">
        <f>91.25*'Enteric fermentation'!K7*'Enteric fermentation'!W53*10^-6</f>
        <v>0.0011959310640229594</v>
      </c>
      <c r="X60" s="67" t="s">
        <v>179</v>
      </c>
      <c r="Y60" s="79"/>
    </row>
    <row r="61" spans="14:25" ht="15.75">
      <c r="N61" s="67"/>
      <c r="O61" s="67" t="s">
        <v>35</v>
      </c>
      <c r="P61" s="78">
        <f>91.25*'Enteric fermentation'!D8*'Enteric fermentation'!P54*10^-6</f>
        <v>0.0005859553684356126</v>
      </c>
      <c r="Q61" s="78">
        <f>91.25*'Enteric fermentation'!E8*'Enteric fermentation'!Q54*10^-6</f>
        <v>0.0003873585591040625</v>
      </c>
      <c r="R61" s="78">
        <f>91.25*'Enteric fermentation'!F8*'Enteric fermentation'!R54*10^-6</f>
        <v>0.0008978145849948459</v>
      </c>
      <c r="S61" s="78">
        <f>91.25*'Enteric fermentation'!G8*'Enteric fermentation'!S54*10^-6</f>
        <v>0.0008081425494774323</v>
      </c>
      <c r="T61" s="78">
        <f>91.25*'Enteric fermentation'!H8*'Enteric fermentation'!T54*10^-6</f>
        <v>0.004480591486650881</v>
      </c>
      <c r="U61" s="78">
        <f>91.25*'Enteric fermentation'!I8*'Enteric fermentation'!U54*10^-6</f>
        <v>0.0008978145849948459</v>
      </c>
      <c r="V61" s="78">
        <f>91.25*'Enteric fermentation'!J8*'Enteric fermentation'!V54*10^-6</f>
        <v>0.00044890729249742295</v>
      </c>
      <c r="W61" s="78">
        <f>91.25*'Enteric fermentation'!K8*'Enteric fermentation'!W54*10^-6</f>
        <v>0.001311484322394748</v>
      </c>
      <c r="X61" s="67" t="s">
        <v>179</v>
      </c>
      <c r="Y61" s="79"/>
    </row>
    <row r="62" spans="5:25" ht="15.75">
      <c r="E62" s="394"/>
      <c r="F62" s="394"/>
      <c r="G62" s="394"/>
      <c r="H62" s="394"/>
      <c r="N62" s="67"/>
      <c r="O62" s="67"/>
      <c r="P62" s="67"/>
      <c r="Q62" s="67"/>
      <c r="R62" s="67"/>
      <c r="S62" s="67"/>
      <c r="T62" s="67"/>
      <c r="U62" s="67"/>
      <c r="V62" s="67"/>
      <c r="W62" s="67"/>
      <c r="X62" s="67"/>
      <c r="Y62" s="79"/>
    </row>
    <row r="63" spans="14:25" ht="15.75">
      <c r="N63" s="67"/>
      <c r="O63" s="67"/>
      <c r="P63" s="67"/>
      <c r="Q63" s="67"/>
      <c r="R63" s="67"/>
      <c r="S63" s="67"/>
      <c r="T63" s="67"/>
      <c r="U63" s="67"/>
      <c r="V63" s="67"/>
      <c r="W63" s="67"/>
      <c r="X63" s="67"/>
      <c r="Y63" s="79"/>
    </row>
    <row r="64" spans="3:25" ht="15.75">
      <c r="C64" s="4"/>
      <c r="D64" s="4"/>
      <c r="E64" s="4"/>
      <c r="F64" s="4"/>
      <c r="N64" s="61" t="s">
        <v>125</v>
      </c>
      <c r="O64" s="76">
        <f>SUM(P58:W61)</f>
        <v>0.04780602749877026</v>
      </c>
      <c r="P64" s="67"/>
      <c r="Q64" s="67"/>
      <c r="R64" s="67"/>
      <c r="S64" s="67"/>
      <c r="T64" s="67"/>
      <c r="U64" s="67"/>
      <c r="V64" s="67"/>
      <c r="W64" s="67"/>
      <c r="X64" s="67" t="s">
        <v>180</v>
      </c>
      <c r="Y64" s="79"/>
    </row>
    <row r="65" spans="3:25" ht="15.75">
      <c r="C65" s="4"/>
      <c r="D65" s="4"/>
      <c r="E65" s="4"/>
      <c r="F65" s="4"/>
      <c r="N65" s="61" t="s">
        <v>125</v>
      </c>
      <c r="O65" s="76">
        <f>O64*21</f>
        <v>1.0039265774741755</v>
      </c>
      <c r="P65" s="67"/>
      <c r="Q65" s="67"/>
      <c r="R65" s="67"/>
      <c r="S65" s="67"/>
      <c r="T65" s="67"/>
      <c r="U65" s="67"/>
      <c r="V65" s="67"/>
      <c r="W65" s="67"/>
      <c r="X65" s="67" t="s">
        <v>181</v>
      </c>
      <c r="Y65" s="79"/>
    </row>
    <row r="66" spans="3:25" ht="15.75">
      <c r="C66" s="4"/>
      <c r="D66" s="4"/>
      <c r="E66" s="4"/>
      <c r="F66" s="4"/>
      <c r="N66" s="69" t="s">
        <v>125</v>
      </c>
      <c r="O66" s="81">
        <f>O65*10^3</f>
        <v>1003.9265774741755</v>
      </c>
      <c r="P66" s="70"/>
      <c r="Q66" s="70"/>
      <c r="R66" s="70"/>
      <c r="S66" s="70"/>
      <c r="T66" s="70"/>
      <c r="U66" s="70"/>
      <c r="V66" s="70"/>
      <c r="W66" s="70"/>
      <c r="X66" s="70" t="s">
        <v>182</v>
      </c>
      <c r="Y66" s="82"/>
    </row>
    <row r="67" spans="3:6" ht="15.75">
      <c r="C67" s="4"/>
      <c r="D67" s="4"/>
      <c r="E67" s="4"/>
      <c r="F67" s="4"/>
    </row>
    <row r="93" ht="15.75">
      <c r="D93" s="56"/>
    </row>
    <row r="99" ht="15.75">
      <c r="B99" s="50"/>
    </row>
    <row r="110" spans="5:10" ht="15.75">
      <c r="E110" s="57"/>
      <c r="G110" s="57"/>
      <c r="I110" s="57"/>
      <c r="J110" s="57"/>
    </row>
    <row r="115" spans="3:12" ht="15.75">
      <c r="C115" s="50"/>
      <c r="D115" s="50"/>
      <c r="E115" s="50"/>
      <c r="F115" s="50"/>
      <c r="G115" s="50"/>
      <c r="H115" s="50"/>
      <c r="I115" s="50"/>
      <c r="J115" s="50"/>
      <c r="K115" s="50"/>
      <c r="L115" s="50"/>
    </row>
    <row r="116" ht="15.75">
      <c r="C116" s="50"/>
    </row>
    <row r="117" spans="11:12" ht="15.75">
      <c r="K117" s="51"/>
      <c r="L117" s="51"/>
    </row>
  </sheetData>
  <sheetProtection sheet="1" objects="1" scenarios="1"/>
  <mergeCells count="2">
    <mergeCell ref="E62:F62"/>
    <mergeCell ref="G62:H62"/>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M36"/>
  <sheetViews>
    <sheetView showGridLines="0" zoomScale="80" zoomScaleNormal="80" zoomScalePageLayoutView="0" workbookViewId="0" topLeftCell="A1">
      <selection activeCell="A1" sqref="A1"/>
    </sheetView>
  </sheetViews>
  <sheetFormatPr defaultColWidth="8.8515625" defaultRowHeight="12.75"/>
  <cols>
    <col min="1" max="1" width="2.00390625" style="3" customWidth="1"/>
    <col min="2" max="2" width="31.28125" style="3" customWidth="1"/>
    <col min="3" max="3" width="12.140625" style="3" customWidth="1"/>
    <col min="4" max="4" width="13.7109375" style="3" bestFit="1" customWidth="1"/>
    <col min="5" max="5" width="13.00390625" style="3" customWidth="1"/>
    <col min="6" max="6" width="12.140625" style="3" customWidth="1"/>
    <col min="7" max="7" width="12.8515625" style="3" customWidth="1"/>
    <col min="8" max="8" width="12.421875" style="3" customWidth="1"/>
    <col min="9" max="9" width="12.140625" style="3" customWidth="1"/>
    <col min="10" max="10" width="12.8515625" style="3" customWidth="1"/>
    <col min="11" max="11" width="14.8515625" style="58" customWidth="1"/>
    <col min="12" max="12" width="22.28125" style="63" customWidth="1"/>
    <col min="13" max="13" width="20.140625" style="3" customWidth="1"/>
    <col min="14" max="16384" width="8.8515625" style="3" customWidth="1"/>
  </cols>
  <sheetData>
    <row r="1" spans="2:4" ht="27" customHeight="1">
      <c r="B1" s="49" t="s">
        <v>126</v>
      </c>
      <c r="C1" s="49"/>
      <c r="D1" s="64"/>
    </row>
    <row r="2" spans="2:3" ht="12" customHeight="1">
      <c r="B2" s="50"/>
      <c r="C2" s="50"/>
    </row>
    <row r="3" spans="2:13" ht="15.75">
      <c r="B3" s="85" t="s">
        <v>111</v>
      </c>
      <c r="C3" s="85" t="s">
        <v>153</v>
      </c>
      <c r="D3" s="322" t="str">
        <f>'Data input'!D3</f>
        <v>Bulls&gt;1</v>
      </c>
      <c r="E3" s="322" t="str">
        <f>'Data input'!E3</f>
        <v>Steers 1 to 2</v>
      </c>
      <c r="F3" s="322" t="str">
        <f>'Data input'!F3</f>
        <v>Weaners&lt;1</v>
      </c>
      <c r="G3" s="322" t="str">
        <f>'Data input'!G3</f>
        <v>Cows 1 to 2</v>
      </c>
      <c r="H3" s="322" t="str">
        <f>'Data input'!H3</f>
        <v>Cows&gt;3</v>
      </c>
      <c r="I3" s="322" t="str">
        <f>'Data input'!I3</f>
        <v>Cows&gt;2</v>
      </c>
      <c r="J3" s="322" t="str">
        <f>'Data input'!J3</f>
        <v>Steers 2 to 3</v>
      </c>
      <c r="K3" s="322" t="str">
        <f>'Data input'!K3</f>
        <v>Steers&gt;3</v>
      </c>
      <c r="L3" s="322" t="str">
        <f>'Data input'!L3</f>
        <v>Units</v>
      </c>
      <c r="M3" s="83" t="s">
        <v>427</v>
      </c>
    </row>
    <row r="4" spans="2:13" ht="15.75">
      <c r="B4" s="86"/>
      <c r="C4" s="86"/>
      <c r="D4" s="86"/>
      <c r="E4" s="86"/>
      <c r="F4" s="86"/>
      <c r="G4" s="86"/>
      <c r="H4" s="86"/>
      <c r="I4" s="86"/>
      <c r="J4" s="86"/>
      <c r="K4" s="89"/>
      <c r="L4" s="87"/>
      <c r="M4" s="84"/>
    </row>
    <row r="5" spans="2:13" ht="15.75">
      <c r="B5" s="86" t="s">
        <v>433</v>
      </c>
      <c r="C5" s="88" t="s">
        <v>32</v>
      </c>
      <c r="D5" s="88">
        <f>'Data input'!D4</f>
        <v>20</v>
      </c>
      <c r="E5" s="88">
        <f>'Data input'!E4</f>
        <v>40</v>
      </c>
      <c r="F5" s="88">
        <f>'Data input'!F4</f>
        <v>100</v>
      </c>
      <c r="G5" s="88">
        <f>'Data input'!G4</f>
        <v>50</v>
      </c>
      <c r="H5" s="88">
        <f>'Data input'!H4</f>
        <v>200</v>
      </c>
      <c r="I5" s="88">
        <f>'Data input'!I4</f>
        <v>100</v>
      </c>
      <c r="J5" s="88">
        <f>'Data input'!J4</f>
        <v>100</v>
      </c>
      <c r="K5" s="88">
        <f>'Data input'!K4</f>
        <v>60</v>
      </c>
      <c r="L5" s="323" t="str">
        <f>'Data input'!L4</f>
        <v>head</v>
      </c>
      <c r="M5" s="84"/>
    </row>
    <row r="6" spans="2:13" ht="15.75">
      <c r="B6" s="86"/>
      <c r="C6" s="88" t="s">
        <v>33</v>
      </c>
      <c r="D6" s="88">
        <f>'Data input'!D5</f>
        <v>20</v>
      </c>
      <c r="E6" s="88">
        <f>'Data input'!E5</f>
        <v>40</v>
      </c>
      <c r="F6" s="88">
        <f>'Data input'!F5</f>
        <v>100</v>
      </c>
      <c r="G6" s="88">
        <f>'Data input'!G5</f>
        <v>50</v>
      </c>
      <c r="H6" s="88">
        <f>'Data input'!H5</f>
        <v>200</v>
      </c>
      <c r="I6" s="88">
        <f>'Data input'!I5</f>
        <v>100</v>
      </c>
      <c r="J6" s="88">
        <f>'Data input'!J5</f>
        <v>100</v>
      </c>
      <c r="K6" s="88">
        <f>'Data input'!K5</f>
        <v>60</v>
      </c>
      <c r="L6" s="323" t="str">
        <f>'Data input'!L5</f>
        <v>head</v>
      </c>
      <c r="M6" s="84"/>
    </row>
    <row r="7" spans="2:13" ht="15.75">
      <c r="B7" s="86"/>
      <c r="C7" s="88" t="s">
        <v>34</v>
      </c>
      <c r="D7" s="88">
        <f>'Data input'!D6</f>
        <v>20</v>
      </c>
      <c r="E7" s="88">
        <f>'Data input'!E6</f>
        <v>40</v>
      </c>
      <c r="F7" s="88">
        <f>'Data input'!F6</f>
        <v>100</v>
      </c>
      <c r="G7" s="88">
        <f>'Data input'!G6</f>
        <v>50</v>
      </c>
      <c r="H7" s="88">
        <f>'Data input'!H6</f>
        <v>200</v>
      </c>
      <c r="I7" s="88">
        <f>'Data input'!I6</f>
        <v>100</v>
      </c>
      <c r="J7" s="88">
        <f>'Data input'!J6</f>
        <v>50</v>
      </c>
      <c r="K7" s="88">
        <f>'Data input'!K6</f>
        <v>60</v>
      </c>
      <c r="L7" s="323" t="str">
        <f>'Data input'!L6</f>
        <v>head</v>
      </c>
      <c r="M7" s="84"/>
    </row>
    <row r="8" spans="2:13" ht="15.75">
      <c r="B8" s="86"/>
      <c r="C8" s="88" t="s">
        <v>35</v>
      </c>
      <c r="D8" s="88">
        <f>'Data input'!D7</f>
        <v>20</v>
      </c>
      <c r="E8" s="88">
        <f>'Data input'!E7</f>
        <v>40</v>
      </c>
      <c r="F8" s="88">
        <f>'Data input'!F7</f>
        <v>100</v>
      </c>
      <c r="G8" s="88">
        <f>'Data input'!G7</f>
        <v>50</v>
      </c>
      <c r="H8" s="88">
        <f>'Data input'!H7</f>
        <v>200</v>
      </c>
      <c r="I8" s="88">
        <f>'Data input'!I7</f>
        <v>100</v>
      </c>
      <c r="J8" s="88">
        <f>'Data input'!J7</f>
        <v>50</v>
      </c>
      <c r="K8" s="88">
        <f>'Data input'!K7</f>
        <v>60</v>
      </c>
      <c r="L8" s="323" t="str">
        <f>'Data input'!L7</f>
        <v>head</v>
      </c>
      <c r="M8" s="84"/>
    </row>
    <row r="9" spans="2:13" ht="15.75">
      <c r="B9" s="86"/>
      <c r="C9" s="86"/>
      <c r="D9" s="88"/>
      <c r="E9" s="88"/>
      <c r="F9" s="88"/>
      <c r="G9" s="88"/>
      <c r="H9" s="88"/>
      <c r="I9" s="88"/>
      <c r="J9" s="88"/>
      <c r="K9" s="89"/>
      <c r="L9" s="323"/>
      <c r="M9" s="84"/>
    </row>
    <row r="10" spans="2:13" ht="15.75">
      <c r="B10" s="86" t="s">
        <v>432</v>
      </c>
      <c r="C10" s="88" t="s">
        <v>32</v>
      </c>
      <c r="D10" s="88">
        <f>'Data input'!D28</f>
        <v>80</v>
      </c>
      <c r="E10" s="88">
        <f>'Data input'!E28</f>
        <v>80</v>
      </c>
      <c r="F10" s="88">
        <f>'Data input'!F28</f>
        <v>80</v>
      </c>
      <c r="G10" s="88">
        <f>'Data input'!G28</f>
        <v>80</v>
      </c>
      <c r="H10" s="88">
        <f>'Data input'!H28</f>
        <v>80</v>
      </c>
      <c r="I10" s="88">
        <f>'Data input'!I28</f>
        <v>80</v>
      </c>
      <c r="J10" s="88">
        <f>'Data input'!J28</f>
        <v>80</v>
      </c>
      <c r="K10" s="88">
        <f>'Data input'!K28</f>
        <v>80</v>
      </c>
      <c r="L10" s="323" t="str">
        <f>'Data input'!L28</f>
        <v>%</v>
      </c>
      <c r="M10" s="84"/>
    </row>
    <row r="11" spans="2:13" ht="15.75">
      <c r="B11" s="88"/>
      <c r="C11" s="88" t="s">
        <v>33</v>
      </c>
      <c r="D11" s="88">
        <f>'Data input'!D29</f>
        <v>55</v>
      </c>
      <c r="E11" s="88">
        <f>'Data input'!E29</f>
        <v>55</v>
      </c>
      <c r="F11" s="88">
        <f>'Data input'!F29</f>
        <v>55</v>
      </c>
      <c r="G11" s="88">
        <f>'Data input'!G29</f>
        <v>55</v>
      </c>
      <c r="H11" s="88">
        <f>'Data input'!H29</f>
        <v>55</v>
      </c>
      <c r="I11" s="88">
        <f>'Data input'!I29</f>
        <v>55</v>
      </c>
      <c r="J11" s="88">
        <f>'Data input'!J29</f>
        <v>55</v>
      </c>
      <c r="K11" s="88">
        <f>'Data input'!K29</f>
        <v>55</v>
      </c>
      <c r="L11" s="323" t="str">
        <f>'Data input'!L29</f>
        <v>%</v>
      </c>
      <c r="M11" s="84"/>
    </row>
    <row r="12" spans="2:13" ht="15.75">
      <c r="B12" s="88"/>
      <c r="C12" s="88" t="s">
        <v>34</v>
      </c>
      <c r="D12" s="88">
        <f>'Data input'!D30</f>
        <v>60</v>
      </c>
      <c r="E12" s="88">
        <f>'Data input'!E30</f>
        <v>60</v>
      </c>
      <c r="F12" s="88">
        <f>'Data input'!F30</f>
        <v>60</v>
      </c>
      <c r="G12" s="88">
        <f>'Data input'!G30</f>
        <v>60</v>
      </c>
      <c r="H12" s="88">
        <f>'Data input'!H30</f>
        <v>60</v>
      </c>
      <c r="I12" s="88">
        <f>'Data input'!I30</f>
        <v>60</v>
      </c>
      <c r="J12" s="88">
        <f>'Data input'!J30</f>
        <v>60</v>
      </c>
      <c r="K12" s="88">
        <f>'Data input'!K30</f>
        <v>60</v>
      </c>
      <c r="L12" s="323" t="str">
        <f>'Data input'!L30</f>
        <v>%</v>
      </c>
      <c r="M12" s="84"/>
    </row>
    <row r="13" spans="2:13" ht="15.75">
      <c r="B13" s="88"/>
      <c r="C13" s="88" t="s">
        <v>35</v>
      </c>
      <c r="D13" s="88">
        <f>'Data input'!D31</f>
        <v>76</v>
      </c>
      <c r="E13" s="88">
        <f>'Data input'!E31</f>
        <v>76</v>
      </c>
      <c r="F13" s="88">
        <f>'Data input'!F31</f>
        <v>76</v>
      </c>
      <c r="G13" s="88">
        <f>'Data input'!G31</f>
        <v>76</v>
      </c>
      <c r="H13" s="88">
        <f>'Data input'!H31</f>
        <v>76</v>
      </c>
      <c r="I13" s="88">
        <f>'Data input'!I31</f>
        <v>76</v>
      </c>
      <c r="J13" s="88">
        <f>'Data input'!J31</f>
        <v>76</v>
      </c>
      <c r="K13" s="88">
        <f>'Data input'!K31</f>
        <v>76</v>
      </c>
      <c r="L13" s="323" t="str">
        <f>'Data input'!L31</f>
        <v>%</v>
      </c>
      <c r="M13" s="84"/>
    </row>
    <row r="14" spans="2:13" ht="15.75">
      <c r="B14" s="86"/>
      <c r="C14" s="86"/>
      <c r="D14" s="88"/>
      <c r="E14" s="88"/>
      <c r="F14" s="88"/>
      <c r="G14" s="88"/>
      <c r="H14" s="88"/>
      <c r="I14" s="88"/>
      <c r="J14" s="88"/>
      <c r="K14" s="89"/>
      <c r="L14" s="89"/>
      <c r="M14" s="84"/>
    </row>
    <row r="15" spans="2:13" ht="15.75">
      <c r="B15" s="88"/>
      <c r="C15" s="88"/>
      <c r="D15" s="88"/>
      <c r="E15" s="88"/>
      <c r="F15" s="88"/>
      <c r="G15" s="88"/>
      <c r="H15" s="88"/>
      <c r="I15" s="88"/>
      <c r="J15" s="88"/>
      <c r="K15" s="89"/>
      <c r="L15" s="89"/>
      <c r="M15" s="84"/>
    </row>
    <row r="16" spans="2:13" ht="15.75">
      <c r="B16" s="86" t="s">
        <v>185</v>
      </c>
      <c r="C16" s="88">
        <f>IF('Data input'!$P$8&gt;5,C17,C18)</f>
        <v>5.4E-05</v>
      </c>
      <c r="D16" s="88"/>
      <c r="E16" s="88"/>
      <c r="F16" s="88"/>
      <c r="G16" s="88"/>
      <c r="H16" s="88"/>
      <c r="I16" s="88"/>
      <c r="J16" s="88"/>
      <c r="K16" s="89"/>
      <c r="L16" s="89"/>
      <c r="M16" s="84"/>
    </row>
    <row r="17" spans="2:13" ht="15.75">
      <c r="B17" s="88" t="s">
        <v>123</v>
      </c>
      <c r="C17" s="88">
        <v>5.4E-05</v>
      </c>
      <c r="D17" s="88"/>
      <c r="E17" s="88"/>
      <c r="F17" s="88"/>
      <c r="G17" s="88"/>
      <c r="H17" s="88"/>
      <c r="I17" s="88"/>
      <c r="J17" s="88"/>
      <c r="K17" s="89"/>
      <c r="L17" s="89"/>
      <c r="M17" s="84"/>
    </row>
    <row r="18" spans="2:13" ht="15.75">
      <c r="B18" s="88" t="s">
        <v>124</v>
      </c>
      <c r="C18" s="88">
        <v>1.4E-05</v>
      </c>
      <c r="D18" s="88"/>
      <c r="E18" s="88"/>
      <c r="F18" s="88"/>
      <c r="G18" s="88"/>
      <c r="H18" s="88"/>
      <c r="I18" s="88"/>
      <c r="J18" s="88"/>
      <c r="K18" s="89"/>
      <c r="L18" s="89"/>
      <c r="M18" s="84"/>
    </row>
    <row r="19" spans="2:13" ht="15.75">
      <c r="B19" s="92"/>
      <c r="C19" s="92"/>
      <c r="D19" s="92"/>
      <c r="E19" s="92"/>
      <c r="F19" s="92"/>
      <c r="G19" s="92"/>
      <c r="H19" s="92"/>
      <c r="I19" s="92"/>
      <c r="J19" s="92"/>
      <c r="K19" s="93"/>
      <c r="L19" s="93"/>
      <c r="M19" s="84"/>
    </row>
    <row r="20" spans="2:13" ht="15.75">
      <c r="B20" s="90"/>
      <c r="C20" s="90"/>
      <c r="D20" s="90"/>
      <c r="E20" s="90"/>
      <c r="F20" s="90"/>
      <c r="G20" s="90"/>
      <c r="H20" s="90"/>
      <c r="I20" s="90"/>
      <c r="J20" s="90"/>
      <c r="K20" s="91"/>
      <c r="L20" s="91"/>
      <c r="M20" s="84"/>
    </row>
    <row r="21" spans="2:13" ht="15.75">
      <c r="B21" s="86" t="s">
        <v>183</v>
      </c>
      <c r="C21" s="88"/>
      <c r="D21" s="86" t="s">
        <v>184</v>
      </c>
      <c r="E21" s="88"/>
      <c r="F21" s="88"/>
      <c r="G21" s="88"/>
      <c r="H21" s="88"/>
      <c r="I21" s="88"/>
      <c r="J21" s="88"/>
      <c r="K21" s="89"/>
      <c r="L21" s="89"/>
      <c r="M21" s="84" t="s">
        <v>189</v>
      </c>
    </row>
    <row r="22" spans="2:13" ht="15.75">
      <c r="B22" s="88"/>
      <c r="C22" s="88" t="s">
        <v>32</v>
      </c>
      <c r="D22" s="94">
        <f>'Enteric fermentation'!P6*(1-D10%)*$C$16</f>
        <v>0.00013275853261487993</v>
      </c>
      <c r="E22" s="94">
        <f>'Enteric fermentation'!Q6*(1-E10%)*$C$16</f>
        <v>6.77161728E-05</v>
      </c>
      <c r="F22" s="94">
        <f>'Enteric fermentation'!R6*(1-F10%)*$C$16</f>
        <v>6.596123107247997E-05</v>
      </c>
      <c r="G22" s="94">
        <f>'Enteric fermentation'!S6*(1-G10%)*$C$16</f>
        <v>9.216019097388E-05</v>
      </c>
      <c r="H22" s="94">
        <f>'Enteric fermentation'!T6*(1-H10%)*$C$16</f>
        <v>0.00014087304808688334</v>
      </c>
      <c r="I22" s="94">
        <f>'Enteric fermentation'!U6*(1-I10%)*$C$16</f>
        <v>6.596123107247997E-05</v>
      </c>
      <c r="J22" s="94">
        <f>'Enteric fermentation'!V6*(1-J10%)*$C$16</f>
        <v>6.596123107247997E-05</v>
      </c>
      <c r="K22" s="94">
        <f>'Enteric fermentation'!W6*(1-K10%)*$C$16</f>
        <v>0.00010156954560587996</v>
      </c>
      <c r="L22" s="89" t="s">
        <v>172</v>
      </c>
      <c r="M22" s="84"/>
    </row>
    <row r="23" spans="2:13" ht="15.75">
      <c r="B23" s="88"/>
      <c r="C23" s="88" t="s">
        <v>33</v>
      </c>
      <c r="D23" s="94">
        <f>'Enteric fermentation'!P7*(1-D11%)*$C$16</f>
        <v>0.0002597500702507501</v>
      </c>
      <c r="E23" s="94">
        <f>'Enteric fermentation'!Q7*(1-E11%)*$C$16</f>
        <v>0.00013491838263123</v>
      </c>
      <c r="F23" s="94">
        <f>'Enteric fermentation'!R7*(1-F11%)*$C$16</f>
        <v>0.00013138041752163001</v>
      </c>
      <c r="G23" s="94">
        <f>'Enteric fermentation'!S7*(1-G11%)*$C$16</f>
        <v>0.00018823136179923003</v>
      </c>
      <c r="H23" s="94">
        <f>'Enteric fermentation'!T7*(1-H11%)*$C$16</f>
        <v>0.00021626290828799999</v>
      </c>
      <c r="I23" s="94">
        <f>'Enteric fermentation'!U7*(1-I11%)*$C$16</f>
        <v>0.00012399828114348003</v>
      </c>
      <c r="J23" s="94">
        <f>'Enteric fermentation'!V7*(1-J11%)*$C$16</f>
        <v>5.285335147199998E-05</v>
      </c>
      <c r="K23" s="94">
        <f>'Enteric fermentation'!W7*(1-K11%)*$C$16</f>
        <v>0.00020119156588682997</v>
      </c>
      <c r="L23" s="89" t="s">
        <v>172</v>
      </c>
      <c r="M23" s="84"/>
    </row>
    <row r="24" spans="2:13" ht="15.75">
      <c r="B24" s="88"/>
      <c r="C24" s="88" t="s">
        <v>34</v>
      </c>
      <c r="D24" s="94">
        <f>'Enteric fermentation'!P8*(1-D12%)*$C$16</f>
        <v>0.00021459824639999994</v>
      </c>
      <c r="E24" s="94">
        <f>'Enteric fermentation'!Q8*(1-E12%)*$C$16</f>
        <v>6.77088774E-05</v>
      </c>
      <c r="F24" s="94">
        <f>'Enteric fermentation'!R8*(1-F12%)*$C$16</f>
        <v>6.737161450806E-05</v>
      </c>
      <c r="G24" s="94">
        <f>'Enteric fermentation'!S8*(1-G12%)*$C$16</f>
        <v>0.00012982339929599996</v>
      </c>
      <c r="H24" s="94">
        <f>'Enteric fermentation'!T8*(1-H12%)*$C$16</f>
        <v>0.00016507714140000002</v>
      </c>
      <c r="I24" s="94">
        <f>'Enteric fermentation'!U8*(1-I12%)*$C$16</f>
        <v>6.737161450806E-05</v>
      </c>
      <c r="J24" s="94">
        <f>'Enteric fermentation'!V8*(1-J12%)*$C$16</f>
        <v>6.737161450806E-05</v>
      </c>
      <c r="K24" s="94">
        <f>'Enteric fermentation'!W8*(1-K12%)*$C$16</f>
        <v>0.00015425426323296008</v>
      </c>
      <c r="L24" s="89" t="s">
        <v>172</v>
      </c>
      <c r="M24" s="84"/>
    </row>
    <row r="25" spans="2:13" ht="15.75">
      <c r="B25" s="88"/>
      <c r="C25" s="88" t="s">
        <v>35</v>
      </c>
      <c r="D25" s="94">
        <f>'Enteric fermentation'!P9*(1-D13%)*$C$16</f>
        <v>0.00013066629783609594</v>
      </c>
      <c r="E25" s="94">
        <f>'Enteric fermentation'!Q9*(1-E13%)*$C$16</f>
        <v>5.0846882489999995E-05</v>
      </c>
      <c r="F25" s="94">
        <f>'Enteric fermentation'!R9*(1-F13%)*$C$16</f>
        <v>4.797451826049599E-05</v>
      </c>
      <c r="G25" s="94">
        <f>'Enteric fermentation'!S9*(1-G13%)*$C$16</f>
        <v>7.721305611321598E-05</v>
      </c>
      <c r="H25" s="94">
        <f>'Enteric fermentation'!T9*(1-H13%)*$C$16</f>
        <v>0.00010260749957529601</v>
      </c>
      <c r="I25" s="94">
        <f>'Enteric fermentation'!U9*(1-I13%)*$C$16</f>
        <v>4.797451826049599E-05</v>
      </c>
      <c r="J25" s="94">
        <f>'Enteric fermentation'!V9*(1-J13%)*$C$16</f>
        <v>4.797451826049599E-05</v>
      </c>
      <c r="K25" s="94">
        <f>'Enteric fermentation'!W9*(1-K13%)*$C$16</f>
        <v>0.00010039005962625602</v>
      </c>
      <c r="L25" s="89" t="s">
        <v>172</v>
      </c>
      <c r="M25" s="84"/>
    </row>
    <row r="26" spans="2:13" ht="15.75">
      <c r="B26" s="88"/>
      <c r="C26" s="88"/>
      <c r="D26" s="88"/>
      <c r="E26" s="88"/>
      <c r="F26" s="88"/>
      <c r="G26" s="88"/>
      <c r="H26" s="88"/>
      <c r="I26" s="88"/>
      <c r="J26" s="88"/>
      <c r="K26" s="89"/>
      <c r="L26" s="89"/>
      <c r="M26" s="84"/>
    </row>
    <row r="27" spans="2:13" ht="15.75">
      <c r="B27" s="86" t="s">
        <v>187</v>
      </c>
      <c r="C27" s="88"/>
      <c r="D27" s="88"/>
      <c r="E27" s="88"/>
      <c r="F27" s="88"/>
      <c r="G27" s="88"/>
      <c r="H27" s="88"/>
      <c r="I27" s="88"/>
      <c r="J27" s="88"/>
      <c r="K27" s="89"/>
      <c r="L27" s="89"/>
      <c r="M27" s="84"/>
    </row>
    <row r="28" spans="2:13" ht="15.75">
      <c r="B28" s="88"/>
      <c r="C28" s="88"/>
      <c r="D28" s="86" t="s">
        <v>188</v>
      </c>
      <c r="E28" s="88"/>
      <c r="F28" s="88"/>
      <c r="G28" s="88"/>
      <c r="H28" s="88"/>
      <c r="I28" s="88"/>
      <c r="J28" s="88"/>
      <c r="K28" s="89"/>
      <c r="L28" s="89"/>
      <c r="M28" s="84" t="s">
        <v>190</v>
      </c>
    </row>
    <row r="29" spans="2:13" ht="15.75">
      <c r="B29" s="88"/>
      <c r="C29" s="88" t="s">
        <v>32</v>
      </c>
      <c r="D29" s="95">
        <f>(D5*D22*91.25)*10^-6</f>
        <v>2.4228432202215587E-07</v>
      </c>
      <c r="E29" s="95">
        <f aca="true" t="shared" si="0" ref="E29:K29">(E5*E22*91.25)*10^-6</f>
        <v>2.4716403072E-07</v>
      </c>
      <c r="F29" s="95">
        <f t="shared" si="0"/>
        <v>6.018962335363797E-07</v>
      </c>
      <c r="G29" s="95">
        <f t="shared" si="0"/>
        <v>4.2048087131832753E-07</v>
      </c>
      <c r="H29" s="95">
        <f t="shared" si="0"/>
        <v>2.5709331275856206E-06</v>
      </c>
      <c r="I29" s="95">
        <f t="shared" si="0"/>
        <v>6.018962335363797E-07</v>
      </c>
      <c r="J29" s="95">
        <f t="shared" si="0"/>
        <v>6.018962335363797E-07</v>
      </c>
      <c r="K29" s="95">
        <f t="shared" si="0"/>
        <v>5.560932621921928E-07</v>
      </c>
      <c r="L29" s="89" t="s">
        <v>179</v>
      </c>
      <c r="M29" s="84"/>
    </row>
    <row r="30" spans="2:13" ht="15.75">
      <c r="B30" s="88"/>
      <c r="C30" s="88" t="s">
        <v>33</v>
      </c>
      <c r="D30" s="95">
        <f aca="true" t="shared" si="1" ref="D30:K30">(D6*D23*91.25)*10^-6</f>
        <v>4.7404387820761885E-07</v>
      </c>
      <c r="E30" s="95">
        <f t="shared" si="1"/>
        <v>4.924520966039895E-07</v>
      </c>
      <c r="F30" s="95">
        <f t="shared" si="1"/>
        <v>1.1988463098848737E-06</v>
      </c>
      <c r="G30" s="95">
        <f t="shared" si="1"/>
        <v>8.58805588208987E-07</v>
      </c>
      <c r="H30" s="95">
        <f t="shared" si="1"/>
        <v>3.946798076256E-06</v>
      </c>
      <c r="I30" s="95">
        <f t="shared" si="1"/>
        <v>1.1314843154342552E-06</v>
      </c>
      <c r="J30" s="95">
        <f t="shared" si="1"/>
        <v>4.822868321819999E-07</v>
      </c>
      <c r="K30" s="95">
        <f t="shared" si="1"/>
        <v>1.101523823230394E-06</v>
      </c>
      <c r="L30" s="89" t="s">
        <v>179</v>
      </c>
      <c r="M30" s="84"/>
    </row>
    <row r="31" spans="2:13" ht="15.75">
      <c r="B31" s="88"/>
      <c r="C31" s="88" t="s">
        <v>34</v>
      </c>
      <c r="D31" s="95">
        <f aca="true" t="shared" si="2" ref="D31:K31">(D7*D24*91.25)*10^-6</f>
        <v>3.9164179967999984E-07</v>
      </c>
      <c r="E31" s="95">
        <f t="shared" si="2"/>
        <v>2.4713740250999994E-07</v>
      </c>
      <c r="F31" s="95">
        <f t="shared" si="2"/>
        <v>6.147659823860475E-07</v>
      </c>
      <c r="G31" s="95">
        <f t="shared" si="2"/>
        <v>5.923192592879999E-07</v>
      </c>
      <c r="H31" s="95">
        <f t="shared" si="2"/>
        <v>3.01265783055E-06</v>
      </c>
      <c r="I31" s="95">
        <f t="shared" si="2"/>
        <v>6.147659823860475E-07</v>
      </c>
      <c r="J31" s="95">
        <f t="shared" si="2"/>
        <v>3.0738299119302376E-07</v>
      </c>
      <c r="K31" s="95">
        <f t="shared" si="2"/>
        <v>8.445420912004564E-07</v>
      </c>
      <c r="L31" s="89" t="s">
        <v>179</v>
      </c>
      <c r="M31" s="84"/>
    </row>
    <row r="32" spans="2:13" ht="15.75">
      <c r="B32" s="88"/>
      <c r="C32" s="88" t="s">
        <v>35</v>
      </c>
      <c r="D32" s="95">
        <f aca="true" t="shared" si="3" ref="D32:K32">(D8*D25*91.25)*10^-6</f>
        <v>2.384659935508751E-07</v>
      </c>
      <c r="E32" s="95">
        <f t="shared" si="3"/>
        <v>1.855911210885E-07</v>
      </c>
      <c r="F32" s="95">
        <f t="shared" si="3"/>
        <v>4.3776747912702593E-07</v>
      </c>
      <c r="G32" s="95">
        <f t="shared" si="3"/>
        <v>3.5228456851654793E-07</v>
      </c>
      <c r="H32" s="95">
        <f t="shared" si="3"/>
        <v>1.872586867249152E-06</v>
      </c>
      <c r="I32" s="95">
        <f t="shared" si="3"/>
        <v>4.3776747912702593E-07</v>
      </c>
      <c r="J32" s="95">
        <f t="shared" si="3"/>
        <v>2.1888373956351296E-07</v>
      </c>
      <c r="K32" s="95">
        <f t="shared" si="3"/>
        <v>5.496355764537517E-07</v>
      </c>
      <c r="L32" s="89" t="s">
        <v>179</v>
      </c>
      <c r="M32" s="84"/>
    </row>
    <row r="33" spans="2:13" ht="15.75">
      <c r="B33" s="88"/>
      <c r="C33" s="88"/>
      <c r="D33" s="88"/>
      <c r="E33" s="88"/>
      <c r="F33" s="88"/>
      <c r="G33" s="88"/>
      <c r="H33" s="88"/>
      <c r="I33" s="88"/>
      <c r="J33" s="88"/>
      <c r="K33" s="89"/>
      <c r="L33" s="89"/>
      <c r="M33" s="84"/>
    </row>
    <row r="34" spans="2:13" ht="15.75">
      <c r="B34" s="86" t="s">
        <v>125</v>
      </c>
      <c r="C34" s="96">
        <f>SUM(D29:K32)</f>
        <v>2.644708139832552E-05</v>
      </c>
      <c r="D34" s="88"/>
      <c r="E34" s="88"/>
      <c r="F34" s="88"/>
      <c r="G34" s="88"/>
      <c r="H34" s="88"/>
      <c r="I34" s="88"/>
      <c r="J34" s="88"/>
      <c r="K34" s="89"/>
      <c r="L34" s="89" t="s">
        <v>180</v>
      </c>
      <c r="M34" s="84"/>
    </row>
    <row r="35" spans="2:13" ht="15.75">
      <c r="B35" s="86" t="s">
        <v>125</v>
      </c>
      <c r="C35" s="96">
        <f>C34*21</f>
        <v>0.0005553887093648359</v>
      </c>
      <c r="D35" s="88"/>
      <c r="E35" s="88"/>
      <c r="F35" s="88"/>
      <c r="G35" s="88"/>
      <c r="H35" s="88"/>
      <c r="I35" s="88"/>
      <c r="J35" s="88"/>
      <c r="K35" s="89"/>
      <c r="L35" s="89" t="s">
        <v>181</v>
      </c>
      <c r="M35" s="84"/>
    </row>
    <row r="36" spans="2:13" ht="15.75">
      <c r="B36" s="97" t="s">
        <v>125</v>
      </c>
      <c r="C36" s="98">
        <f>C35*10^3</f>
        <v>0.555388709364836</v>
      </c>
      <c r="D36" s="90"/>
      <c r="E36" s="90"/>
      <c r="F36" s="90"/>
      <c r="G36" s="90"/>
      <c r="H36" s="90"/>
      <c r="I36" s="90"/>
      <c r="J36" s="90"/>
      <c r="K36" s="91"/>
      <c r="L36" s="91" t="s">
        <v>182</v>
      </c>
      <c r="M36" s="99"/>
    </row>
  </sheetData>
  <sheetProtection sheet="1" objects="1" scenarios="1"/>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AL106"/>
  <sheetViews>
    <sheetView showGridLines="0" zoomScale="80" zoomScaleNormal="80" zoomScalePageLayoutView="0" workbookViewId="0" topLeftCell="A1">
      <selection activeCell="A1" sqref="A1"/>
    </sheetView>
  </sheetViews>
  <sheetFormatPr defaultColWidth="8.8515625" defaultRowHeight="12.75"/>
  <cols>
    <col min="1" max="1" width="2.7109375" style="1" customWidth="1"/>
    <col min="2" max="2" width="36.57421875" style="1" customWidth="1"/>
    <col min="3" max="3" width="13.7109375" style="1" bestFit="1" customWidth="1"/>
    <col min="4" max="4" width="11.00390625" style="1" bestFit="1" customWidth="1"/>
    <col min="5" max="5" width="13.00390625" style="1" customWidth="1"/>
    <col min="6" max="6" width="11.7109375" style="1" customWidth="1"/>
    <col min="7" max="7" width="13.28125" style="1" customWidth="1"/>
    <col min="8" max="8" width="11.8515625" style="1" customWidth="1"/>
    <col min="9" max="9" width="11.7109375" style="1" customWidth="1"/>
    <col min="10" max="10" width="12.57421875" style="1" customWidth="1"/>
    <col min="11" max="12" width="13.00390625" style="1" customWidth="1"/>
    <col min="13" max="13" width="8.8515625" style="1" customWidth="1"/>
    <col min="14" max="14" width="31.140625" style="1" customWidth="1"/>
    <col min="15" max="15" width="18.7109375" style="1" customWidth="1"/>
    <col min="16" max="16" width="11.7109375" style="1" customWidth="1"/>
    <col min="17" max="17" width="10.421875" style="1" customWidth="1"/>
    <col min="18" max="18" width="11.57421875" style="1" customWidth="1"/>
    <col min="19" max="19" width="11.421875" style="1" customWidth="1"/>
    <col min="20" max="20" width="10.8515625" style="1" customWidth="1"/>
    <col min="21" max="21" width="11.28125" style="1" customWidth="1"/>
    <col min="22" max="22" width="14.28125" style="1" customWidth="1"/>
    <col min="23" max="23" width="14.7109375" style="102" customWidth="1"/>
    <col min="24" max="24" width="19.7109375" style="102" customWidth="1"/>
    <col min="25" max="25" width="22.7109375" style="104" customWidth="1"/>
    <col min="26" max="26" width="12.28125" style="1" customWidth="1"/>
    <col min="27" max="27" width="18.57421875" style="104" customWidth="1"/>
    <col min="28" max="16384" width="8.8515625" style="1" customWidth="1"/>
  </cols>
  <sheetData>
    <row r="1" spans="1:2" ht="27.75" customHeight="1">
      <c r="A1" s="128" t="s">
        <v>235</v>
      </c>
      <c r="B1" s="48"/>
    </row>
    <row r="3" spans="2:38" ht="15.75">
      <c r="B3" s="107" t="s">
        <v>191</v>
      </c>
      <c r="C3" s="107" t="s">
        <v>153</v>
      </c>
      <c r="D3" s="324" t="str">
        <f>'Data input'!D3</f>
        <v>Bulls&gt;1</v>
      </c>
      <c r="E3" s="324" t="str">
        <f>'Data input'!E3</f>
        <v>Steers 1 to 2</v>
      </c>
      <c r="F3" s="324" t="str">
        <f>'Data input'!F3</f>
        <v>Weaners&lt;1</v>
      </c>
      <c r="G3" s="324" t="str">
        <f>'Data input'!G3</f>
        <v>Cows 1 to 2</v>
      </c>
      <c r="H3" s="324" t="str">
        <f>'Data input'!H3</f>
        <v>Cows&gt;3</v>
      </c>
      <c r="I3" s="324" t="str">
        <f>'Data input'!I3</f>
        <v>Cows&gt;2</v>
      </c>
      <c r="J3" s="324" t="str">
        <f>'Data input'!J3</f>
        <v>Steers 2 to 3</v>
      </c>
      <c r="K3" s="324" t="str">
        <f>'Data input'!K3</f>
        <v>Steers&gt;3</v>
      </c>
      <c r="L3" s="324" t="str">
        <f>'Data input'!L3</f>
        <v>Units</v>
      </c>
      <c r="N3" s="107" t="s">
        <v>193</v>
      </c>
      <c r="O3" s="107" t="s">
        <v>153</v>
      </c>
      <c r="P3" s="324" t="str">
        <f>'Data input'!D3</f>
        <v>Bulls&gt;1</v>
      </c>
      <c r="Q3" s="324" t="str">
        <f>'Data input'!E3</f>
        <v>Steers 1 to 2</v>
      </c>
      <c r="R3" s="324" t="str">
        <f>'Data input'!F3</f>
        <v>Weaners&lt;1</v>
      </c>
      <c r="S3" s="324" t="str">
        <f>'Data input'!G3</f>
        <v>Cows 1 to 2</v>
      </c>
      <c r="T3" s="324" t="str">
        <f>'Data input'!H3</f>
        <v>Cows&gt;3</v>
      </c>
      <c r="U3" s="324" t="str">
        <f>'Data input'!I3</f>
        <v>Cows&gt;2</v>
      </c>
      <c r="V3" s="324" t="str">
        <f>'Data input'!J3</f>
        <v>Steers 2 to 3</v>
      </c>
      <c r="W3" s="324" t="str">
        <f>'Data input'!K3</f>
        <v>Steers&gt;3</v>
      </c>
      <c r="X3" s="324" t="str">
        <f>'Data input'!L3</f>
        <v>Units</v>
      </c>
      <c r="Y3" s="106" t="s">
        <v>427</v>
      </c>
      <c r="AA3" s="1"/>
      <c r="AC3" s="3"/>
      <c r="AD3" s="3"/>
      <c r="AE3" s="3"/>
      <c r="AF3" s="3"/>
      <c r="AG3" s="3"/>
      <c r="AH3" s="3"/>
      <c r="AI3" s="3"/>
      <c r="AJ3" s="3"/>
      <c r="AK3" s="3"/>
      <c r="AL3" s="3"/>
    </row>
    <row r="4" spans="2:38" ht="15.75">
      <c r="B4" s="114"/>
      <c r="C4" s="114"/>
      <c r="D4" s="114"/>
      <c r="E4" s="114"/>
      <c r="F4" s="114"/>
      <c r="G4" s="114"/>
      <c r="H4" s="114"/>
      <c r="I4" s="114"/>
      <c r="J4" s="114"/>
      <c r="K4" s="325"/>
      <c r="L4" s="114"/>
      <c r="N4" s="114"/>
      <c r="O4" s="114"/>
      <c r="P4" s="114"/>
      <c r="Q4" s="114"/>
      <c r="R4" s="114"/>
      <c r="S4" s="114"/>
      <c r="T4" s="114"/>
      <c r="U4" s="114"/>
      <c r="V4" s="114"/>
      <c r="W4" s="115"/>
      <c r="X4" s="115"/>
      <c r="Y4" s="126"/>
      <c r="AA4" s="1"/>
      <c r="AC4" s="105"/>
      <c r="AD4" s="105"/>
      <c r="AE4" s="105"/>
      <c r="AF4" s="105"/>
      <c r="AG4" s="105"/>
      <c r="AH4" s="105"/>
      <c r="AI4" s="105"/>
      <c r="AJ4" s="3"/>
      <c r="AK4" s="3"/>
      <c r="AL4" s="3"/>
    </row>
    <row r="5" spans="2:38" ht="17.25" customHeight="1">
      <c r="B5" s="113" t="s">
        <v>192</v>
      </c>
      <c r="C5" s="114" t="s">
        <v>32</v>
      </c>
      <c r="D5" s="114">
        <f>'Data input'!D22</f>
        <v>25</v>
      </c>
      <c r="E5" s="114">
        <f>'Data input'!E22</f>
        <v>25</v>
      </c>
      <c r="F5" s="114">
        <f>'Data input'!F22</f>
        <v>25</v>
      </c>
      <c r="G5" s="114">
        <f>'Data input'!G22</f>
        <v>25</v>
      </c>
      <c r="H5" s="114">
        <f>'Data input'!H22</f>
        <v>25</v>
      </c>
      <c r="I5" s="114">
        <f>'Data input'!I22</f>
        <v>25</v>
      </c>
      <c r="J5" s="114">
        <f>'Data input'!J22</f>
        <v>25</v>
      </c>
      <c r="K5" s="114">
        <f>'Data input'!K22</f>
        <v>25</v>
      </c>
      <c r="L5" s="114" t="str">
        <f>'Data input'!L22</f>
        <v>%</v>
      </c>
      <c r="N5" s="113" t="s">
        <v>196</v>
      </c>
      <c r="O5" s="114"/>
      <c r="P5" s="113" t="s">
        <v>195</v>
      </c>
      <c r="Q5" s="114"/>
      <c r="R5" s="114"/>
      <c r="S5" s="114"/>
      <c r="T5" s="114"/>
      <c r="U5" s="114"/>
      <c r="V5" s="114"/>
      <c r="W5" s="115"/>
      <c r="X5" s="115"/>
      <c r="Y5" s="126" t="s">
        <v>194</v>
      </c>
      <c r="AA5" s="1"/>
      <c r="AC5" s="3"/>
      <c r="AD5" s="4"/>
      <c r="AE5" s="4"/>
      <c r="AF5" s="4"/>
      <c r="AG5" s="4"/>
      <c r="AH5" s="4"/>
      <c r="AI5" s="4"/>
      <c r="AJ5" s="4"/>
      <c r="AK5" s="4"/>
      <c r="AL5" s="3"/>
    </row>
    <row r="6" spans="2:38" ht="18" customHeight="1">
      <c r="B6" s="114"/>
      <c r="C6" s="114" t="s">
        <v>33</v>
      </c>
      <c r="D6" s="114">
        <f>'Data input'!D23</f>
        <v>7</v>
      </c>
      <c r="E6" s="114">
        <f>'Data input'!E23</f>
        <v>7</v>
      </c>
      <c r="F6" s="114">
        <f>'Data input'!F23</f>
        <v>7</v>
      </c>
      <c r="G6" s="114">
        <f>'Data input'!G23</f>
        <v>7</v>
      </c>
      <c r="H6" s="114">
        <f>'Data input'!H23</f>
        <v>7</v>
      </c>
      <c r="I6" s="114">
        <f>'Data input'!I23</f>
        <v>7</v>
      </c>
      <c r="J6" s="114">
        <f>'Data input'!J23</f>
        <v>7</v>
      </c>
      <c r="K6" s="114">
        <f>'Data input'!K23</f>
        <v>7</v>
      </c>
      <c r="L6" s="114" t="str">
        <f>'Data input'!L23</f>
        <v>%</v>
      </c>
      <c r="N6" s="114"/>
      <c r="O6" s="114" t="s">
        <v>32</v>
      </c>
      <c r="P6" s="122">
        <f>'Enteric fermentation'!P6*D5%+(0.032*D$10)</f>
        <v>3.0731141808999993</v>
      </c>
      <c r="Q6" s="122">
        <f>'Enteric fermentation'!Q6*E5%+(0.032*E$10)</f>
        <v>1.5675040000000005</v>
      </c>
      <c r="R6" s="122">
        <f>'Enteric fermentation'!R6*F5%+(0.032*F$10)</f>
        <v>1.6548803488999995</v>
      </c>
      <c r="S6" s="122">
        <f>'Enteric fermentation'!S6*G5%+(0.032*G$10)</f>
        <v>2.1333377540250007</v>
      </c>
      <c r="T6" s="122">
        <f>'Enteric fermentation'!T6*H5%+(0.032*H$10)</f>
        <v>3.2609501871963746</v>
      </c>
      <c r="U6" s="122">
        <f>'Enteric fermentation'!U6*I5%+(0.032*I$10)</f>
        <v>1.5268803488999996</v>
      </c>
      <c r="V6" s="122">
        <f>'Enteric fermentation'!V6*J5%+(0.032*J$10)</f>
        <v>1.5268803488999996</v>
      </c>
      <c r="W6" s="122">
        <f>'Enteric fermentation'!W6*K5%+(0.032*K$10)</f>
        <v>2.351146889025</v>
      </c>
      <c r="X6" s="115" t="s">
        <v>91</v>
      </c>
      <c r="Y6" s="126"/>
      <c r="AA6" s="1"/>
      <c r="AC6" s="4"/>
      <c r="AD6" s="4"/>
      <c r="AE6" s="4"/>
      <c r="AF6" s="4"/>
      <c r="AG6" s="4"/>
      <c r="AH6" s="4"/>
      <c r="AI6" s="4"/>
      <c r="AJ6" s="4"/>
      <c r="AK6" s="3"/>
      <c r="AL6" s="3"/>
    </row>
    <row r="7" spans="2:38" ht="15.75">
      <c r="B7" s="114"/>
      <c r="C7" s="114" t="s">
        <v>34</v>
      </c>
      <c r="D7" s="114">
        <f>'Data input'!D24</f>
        <v>10</v>
      </c>
      <c r="E7" s="114">
        <f>'Data input'!E24</f>
        <v>10</v>
      </c>
      <c r="F7" s="114">
        <f>'Data input'!F24</f>
        <v>10</v>
      </c>
      <c r="G7" s="114">
        <f>'Data input'!G24</f>
        <v>10</v>
      </c>
      <c r="H7" s="114">
        <f>'Data input'!H24</f>
        <v>10</v>
      </c>
      <c r="I7" s="114">
        <f>'Data input'!I24</f>
        <v>10</v>
      </c>
      <c r="J7" s="114">
        <f>'Data input'!J24</f>
        <v>10</v>
      </c>
      <c r="K7" s="114">
        <f>'Data input'!K24</f>
        <v>10</v>
      </c>
      <c r="L7" s="114" t="str">
        <f>'Data input'!L24</f>
        <v>%</v>
      </c>
      <c r="N7" s="114"/>
      <c r="O7" s="114" t="s">
        <v>33</v>
      </c>
      <c r="P7" s="122">
        <f>'Enteric fermentation'!P7*D6%+(0.032*D$10)</f>
        <v>0.7482512311750005</v>
      </c>
      <c r="Q7" s="122">
        <f>'Enteric fermentation'!Q7*E6%+(0.032*E$10)</f>
        <v>0.38865377712700006</v>
      </c>
      <c r="R7" s="122">
        <f>'Enteric fermentation'!R7*F6%+(0.032*F$10)</f>
        <v>0.5064621080870001</v>
      </c>
      <c r="S7" s="122">
        <f>'Enteric fermentation'!S7*G6%+(0.032*G$10)</f>
        <v>0.5422302603270002</v>
      </c>
      <c r="T7" s="122">
        <f>'Enteric fermentation'!T7*H6%+(0.032*H$10)</f>
        <v>0.6229795712000001</v>
      </c>
      <c r="U7" s="122">
        <f>'Enteric fermentation'!U7*I6%+(0.032*I$10)</f>
        <v>0.35719669465200016</v>
      </c>
      <c r="V7" s="122">
        <f>'Enteric fermentation'!V7*J6%+(0.032*J$10)</f>
        <v>0.1522524528</v>
      </c>
      <c r="W7" s="122">
        <f>'Enteric fermentation'!W7*K6%+(0.032*K$10)</f>
        <v>0.5795641815670001</v>
      </c>
      <c r="X7" s="115" t="s">
        <v>91</v>
      </c>
      <c r="Y7" s="126"/>
      <c r="AA7" s="1"/>
      <c r="AC7" s="4"/>
      <c r="AD7" s="4"/>
      <c r="AE7" s="4"/>
      <c r="AF7" s="4"/>
      <c r="AG7" s="4"/>
      <c r="AH7" s="4"/>
      <c r="AI7" s="4"/>
      <c r="AJ7" s="4"/>
      <c r="AK7" s="3"/>
      <c r="AL7" s="3"/>
    </row>
    <row r="8" spans="2:38" ht="16.5" customHeight="1">
      <c r="B8" s="114"/>
      <c r="C8" s="114" t="s">
        <v>35</v>
      </c>
      <c r="D8" s="114">
        <f>'Data input'!D25</f>
        <v>21</v>
      </c>
      <c r="E8" s="114">
        <f>'Data input'!E25</f>
        <v>21</v>
      </c>
      <c r="F8" s="114">
        <f>'Data input'!F25</f>
        <v>21</v>
      </c>
      <c r="G8" s="114">
        <f>'Data input'!G25</f>
        <v>21</v>
      </c>
      <c r="H8" s="114">
        <f>'Data input'!H25</f>
        <v>21</v>
      </c>
      <c r="I8" s="114">
        <f>'Data input'!I25</f>
        <v>21</v>
      </c>
      <c r="J8" s="114">
        <f>'Data input'!J25</f>
        <v>21</v>
      </c>
      <c r="K8" s="114">
        <f>'Data input'!K25</f>
        <v>21</v>
      </c>
      <c r="L8" s="114" t="str">
        <f>'Data input'!L25</f>
        <v>%</v>
      </c>
      <c r="N8" s="114"/>
      <c r="O8" s="114" t="s">
        <v>34</v>
      </c>
      <c r="P8" s="122">
        <f>'Enteric fermentation'!P8*D7%+(0.032*D$10)</f>
        <v>0.9935103999999998</v>
      </c>
      <c r="Q8" s="122">
        <f>'Enteric fermentation'!Q8*E7%+(0.032*E$10)</f>
        <v>0.313467025</v>
      </c>
      <c r="R8" s="122">
        <f>'Enteric fermentation'!R8*F7%+(0.032*F$10)</f>
        <v>0.4399056227225</v>
      </c>
      <c r="S8" s="122">
        <f>'Enteric fermentation'!S8*G7%+(0.032*G$10)</f>
        <v>0.6010342559999998</v>
      </c>
      <c r="T8" s="122">
        <f>'Enteric fermentation'!T8*H7%+(0.032*H$10)</f>
        <v>0.764246025</v>
      </c>
      <c r="U8" s="122">
        <f>'Enteric fermentation'!U8*I7%+(0.032*I$10)</f>
        <v>0.3119056227225</v>
      </c>
      <c r="V8" s="122">
        <f>'Enteric fermentation'!V8*J7%+(0.032*J$10)</f>
        <v>0.3119056227225</v>
      </c>
      <c r="W8" s="122">
        <f>'Enteric fermentation'!W8*K7%+(0.032*K$10)</f>
        <v>0.7141401075600003</v>
      </c>
      <c r="X8" s="115" t="s">
        <v>91</v>
      </c>
      <c r="Y8" s="126"/>
      <c r="AA8" s="1"/>
      <c r="AC8" s="4"/>
      <c r="AD8" s="4"/>
      <c r="AE8" s="4"/>
      <c r="AF8" s="4"/>
      <c r="AG8" s="4"/>
      <c r="AH8" s="4"/>
      <c r="AI8" s="4"/>
      <c r="AJ8" s="4"/>
      <c r="AK8" s="3"/>
      <c r="AL8" s="3"/>
    </row>
    <row r="9" spans="2:38" ht="15.75">
      <c r="B9" s="114"/>
      <c r="C9" s="353" t="s">
        <v>444</v>
      </c>
      <c r="D9" s="353"/>
      <c r="E9" s="353"/>
      <c r="F9" s="353">
        <v>0</v>
      </c>
      <c r="G9" s="353"/>
      <c r="H9" s="353"/>
      <c r="I9" s="353"/>
      <c r="J9" s="114"/>
      <c r="K9" s="325"/>
      <c r="L9" s="114"/>
      <c r="N9" s="114"/>
      <c r="O9" s="114" t="s">
        <v>35</v>
      </c>
      <c r="P9" s="122">
        <f>'Enteric fermentation'!P9*D8%+(0.032*D$10)</f>
        <v>2.117277974195999</v>
      </c>
      <c r="Q9" s="122">
        <f>'Enteric fermentation'!Q9*E8%+(0.032*E$10)</f>
        <v>0.823907818125</v>
      </c>
      <c r="R9" s="122">
        <f>'Enteric fermentation'!R9*F8%+(0.032*F$10)</f>
        <v>0.9053648792209998</v>
      </c>
      <c r="S9" s="122">
        <f>'Enteric fermentation'!S9*G8%+(0.032*G$10)</f>
        <v>1.2511374833159996</v>
      </c>
      <c r="T9" s="122">
        <f>'Enteric fermentation'!T9*H8%+(0.032*H$10)</f>
        <v>1.6626215208960002</v>
      </c>
      <c r="U9" s="122">
        <f>'Enteric fermentation'!U9*I8%+(0.032*I$10)</f>
        <v>0.7773648792209998</v>
      </c>
      <c r="V9" s="122">
        <f>'Enteric fermentation'!V9*J8%+(0.032*J$10)</f>
        <v>0.7773648792209998</v>
      </c>
      <c r="W9" s="122">
        <f>'Enteric fermentation'!W9*K8%+(0.032*K$10)</f>
        <v>1.6266907809810003</v>
      </c>
      <c r="X9" s="115" t="s">
        <v>91</v>
      </c>
      <c r="Y9" s="126"/>
      <c r="AA9" s="1"/>
      <c r="AC9" s="4"/>
      <c r="AD9" s="4"/>
      <c r="AE9" s="4"/>
      <c r="AF9" s="4"/>
      <c r="AG9" s="4"/>
      <c r="AH9" s="4"/>
      <c r="AI9" s="4"/>
      <c r="AJ9" s="4"/>
      <c r="AK9" s="3"/>
      <c r="AL9" s="3"/>
    </row>
    <row r="10" spans="2:38" ht="15.75">
      <c r="B10" s="113"/>
      <c r="C10" s="354" t="s">
        <v>445</v>
      </c>
      <c r="D10" s="353"/>
      <c r="E10" s="353"/>
      <c r="F10" s="353">
        <v>4</v>
      </c>
      <c r="G10" s="353"/>
      <c r="H10" s="353"/>
      <c r="I10" s="353"/>
      <c r="J10" s="114"/>
      <c r="K10" s="114"/>
      <c r="L10" s="114"/>
      <c r="N10" s="114"/>
      <c r="O10" s="114"/>
      <c r="P10" s="114"/>
      <c r="Q10" s="114"/>
      <c r="R10" s="114"/>
      <c r="S10" s="114"/>
      <c r="T10" s="114"/>
      <c r="U10" s="114"/>
      <c r="V10" s="114"/>
      <c r="W10" s="115"/>
      <c r="X10" s="115"/>
      <c r="Y10" s="126"/>
      <c r="AC10" s="3"/>
      <c r="AD10" s="3"/>
      <c r="AE10" s="3"/>
      <c r="AF10" s="3"/>
      <c r="AG10" s="3"/>
      <c r="AH10" s="3"/>
      <c r="AI10" s="3"/>
      <c r="AJ10" s="3"/>
      <c r="AK10" s="3"/>
      <c r="AL10" s="3"/>
    </row>
    <row r="11" spans="2:38" ht="15" customHeight="1">
      <c r="B11" s="114"/>
      <c r="C11" s="114"/>
      <c r="D11" s="114"/>
      <c r="E11" s="114"/>
      <c r="F11" s="114"/>
      <c r="G11" s="114"/>
      <c r="H11" s="114"/>
      <c r="I11" s="114"/>
      <c r="J11" s="114"/>
      <c r="K11" s="325"/>
      <c r="L11" s="115"/>
      <c r="N11" s="113" t="s">
        <v>197</v>
      </c>
      <c r="O11" s="114"/>
      <c r="P11" s="113" t="s">
        <v>201</v>
      </c>
      <c r="Q11" s="114"/>
      <c r="R11" s="114"/>
      <c r="S11" s="114"/>
      <c r="T11" s="114"/>
      <c r="U11" s="114"/>
      <c r="V11" s="114"/>
      <c r="W11" s="115"/>
      <c r="X11" s="115"/>
      <c r="Y11" s="126" t="s">
        <v>198</v>
      </c>
      <c r="AC11" s="112"/>
      <c r="AD11" s="112"/>
      <c r="AE11" s="112"/>
      <c r="AF11" s="112"/>
      <c r="AG11" s="112"/>
      <c r="AH11" s="112"/>
      <c r="AI11" s="112"/>
      <c r="AJ11" s="3"/>
      <c r="AK11" s="3"/>
      <c r="AL11" s="3"/>
    </row>
    <row r="12" spans="2:38" ht="15.75" customHeight="1">
      <c r="B12" s="113" t="s">
        <v>432</v>
      </c>
      <c r="C12" s="114" t="s">
        <v>32</v>
      </c>
      <c r="D12" s="114">
        <f>'Data input'!D28</f>
        <v>80</v>
      </c>
      <c r="E12" s="114">
        <f>'Data input'!E28</f>
        <v>80</v>
      </c>
      <c r="F12" s="114">
        <f>'Data input'!F28</f>
        <v>80</v>
      </c>
      <c r="G12" s="114">
        <f>'Data input'!G28</f>
        <v>80</v>
      </c>
      <c r="H12" s="114">
        <f>'Data input'!H28</f>
        <v>80</v>
      </c>
      <c r="I12" s="114">
        <f>'Data input'!I28</f>
        <v>80</v>
      </c>
      <c r="J12" s="114">
        <f>'Data input'!J28</f>
        <v>80</v>
      </c>
      <c r="K12" s="114">
        <f>'Data input'!K28</f>
        <v>80</v>
      </c>
      <c r="L12" s="114" t="str">
        <f>'Data input'!L28</f>
        <v>%</v>
      </c>
      <c r="N12" s="114"/>
      <c r="O12" s="114" t="s">
        <v>32</v>
      </c>
      <c r="P12" s="122">
        <f>((0.3*(P6*((1-((D12+10)/100))))+(0.105*(D17*'Enteric fermentation'!P6*0.008))+(0.08*(0.032*D$10))+(0.0152*'Enteric fermentation'!P6))/6.25)</f>
        <v>0.06413279525628864</v>
      </c>
      <c r="Q12" s="122">
        <f>((0.3*(Q6*((1-((E12+10)/100))))+(0.105*(E17*'Enteric fermentation'!Q6*0.008))+(0.08*(0.032*E$10))+(0.0152*'Enteric fermentation'!Q6))/6.25)</f>
        <v>0.03271222843596801</v>
      </c>
      <c r="R12" s="122">
        <f>((0.3*(R6*((1-((F12+10)/100))))+(0.105*(F17*'Enteric fermentation'!R6*0.008))+(0.08*(0.032*F$10))+(0.0152*'Enteric fermentation'!R6))/6.25)</f>
        <v>0.0341172537861513</v>
      </c>
      <c r="S12" s="122">
        <f>((0.3*(S6*((1-((G12+10)/100))))+(0.105*(G17*'Enteric fermentation'!S6*0.008))+(0.08*(0.032*G$10))+(0.0152*'Enteric fermentation'!S6))/6.25)</f>
        <v>0.044520608522045695</v>
      </c>
      <c r="T12" s="122">
        <f>((0.3*(T6*((1-((H12+10)/100))))+(0.105*(H17*'Enteric fermentation'!T6*0.008))+(0.08*(0.032*H$10))+(0.0152*'Enteric fermentation'!T6))/6.25)</f>
        <v>0.06805274336899964</v>
      </c>
      <c r="U12" s="122">
        <f>((0.3*(U6*((1-((I12+10)/100))))+(0.105*(I17*'Enteric fermentation'!U6*0.008))+(0.08*(0.032*I$10))+(0.0152*'Enteric fermentation'!U6))/6.25)</f>
        <v>0.0318644537861513</v>
      </c>
      <c r="V12" s="122">
        <f>((0.3*(V6*((1-((J12+10)/100))))+(0.105*(J17*'Enteric fermentation'!V6*0.008))+(0.08*(0.032*J$10))+(0.0152*'Enteric fermentation'!V6))/6.25)</f>
        <v>0.0318644537861513</v>
      </c>
      <c r="W12" s="122">
        <f>((0.3*(W6*((1-((K12+10)/100))))+(0.105*(K17*'Enteric fermentation'!W6*0.008))+(0.08*(0.032*K$10))+(0.0152*'Enteric fermentation'!W6))/6.25)</f>
        <v>0.049066065617887594</v>
      </c>
      <c r="X12" s="115" t="s">
        <v>91</v>
      </c>
      <c r="Y12" s="126"/>
      <c r="AC12" s="4"/>
      <c r="AD12" s="4"/>
      <c r="AE12" s="4"/>
      <c r="AF12" s="4"/>
      <c r="AG12" s="4"/>
      <c r="AH12" s="4"/>
      <c r="AI12" s="4"/>
      <c r="AJ12" s="3"/>
      <c r="AK12" s="3"/>
      <c r="AL12" s="3"/>
    </row>
    <row r="13" spans="2:38" ht="15.75">
      <c r="B13" s="113"/>
      <c r="C13" s="114" t="s">
        <v>33</v>
      </c>
      <c r="D13" s="114">
        <f>'Data input'!D29</f>
        <v>55</v>
      </c>
      <c r="E13" s="114">
        <f>'Data input'!E29</f>
        <v>55</v>
      </c>
      <c r="F13" s="114">
        <f>'Data input'!F29</f>
        <v>55</v>
      </c>
      <c r="G13" s="114">
        <f>'Data input'!G29</f>
        <v>55</v>
      </c>
      <c r="H13" s="114">
        <f>'Data input'!H29</f>
        <v>55</v>
      </c>
      <c r="I13" s="114">
        <f>'Data input'!I29</f>
        <v>55</v>
      </c>
      <c r="J13" s="114">
        <f>'Data input'!J29</f>
        <v>55</v>
      </c>
      <c r="K13" s="114">
        <f>'Data input'!K29</f>
        <v>55</v>
      </c>
      <c r="L13" s="114" t="str">
        <f>'Data input'!L29</f>
        <v>%</v>
      </c>
      <c r="N13" s="114"/>
      <c r="O13" s="114" t="s">
        <v>33</v>
      </c>
      <c r="P13" s="122">
        <f>((0.3*(P7*((1-((D13+10)/100))))+(0.105*(D18*'Enteric fermentation'!P7*0.008))+(0.08*(0.032*D$10))+(0.0152*'Enteric fermentation'!P7))/6.25)</f>
        <v>0.04975126711803899</v>
      </c>
      <c r="Q13" s="122">
        <f>((0.3*(Q7*((1-((E13+10)/100))))+(0.105*(E18*'Enteric fermentation'!Q7*0.008))+(0.08*(0.032*E$10))+(0.0152*'Enteric fermentation'!Q7))/6.25)</f>
        <v>0.025841611849961494</v>
      </c>
      <c r="R13" s="122">
        <f>((0.3*(R7*((1-((F13+10)/100))))+(0.105*(F18*'Enteric fermentation'!R7*0.008))+(0.08*(0.032*F$10))+(0.0152*'Enteric fermentation'!R7))/6.25)</f>
        <v>0.02895276719311081</v>
      </c>
      <c r="S13" s="122">
        <f>((0.3*(S7*((1-((G13+10)/100))))+(0.105*(G18*'Enteric fermentation'!S7*0.008))+(0.08*(0.032*G$10))+(0.0152*'Enteric fermentation'!S7))/6.25)</f>
        <v>0.036052920993728546</v>
      </c>
      <c r="T13" s="122">
        <f>((0.3*(T7*((1-((H13+10)/100))))+(0.105*(H18*'Enteric fermentation'!T7*0.008))+(0.08*(0.032*H$10))+(0.0152*'Enteric fermentation'!T7))/6.25)</f>
        <v>0.041421947287920646</v>
      </c>
      <c r="U13" s="122">
        <f>((0.3*(U7*((1-((I13+10)/100))))+(0.105*(I18*'Enteric fermentation'!U7*0.008))+(0.08*(0.032*I$10))+(0.0152*'Enteric fermentation'!U7))/6.25)</f>
        <v>0.02375002863865118</v>
      </c>
      <c r="V13" s="122">
        <f>((0.3*(V7*((1-((J13+10)/100))))+(0.105*(J18*'Enteric fermentation'!V7*0.008))+(0.08*(0.032*J$10))+(0.0152*'Enteric fermentation'!V7))/6.25)</f>
        <v>0.010123274286812159</v>
      </c>
      <c r="W13" s="122">
        <f>((0.3*(W7*((1-((K13+10)/100))))+(0.105*(K18*'Enteric fermentation'!W7*0.008))+(0.08*(0.032*K$10))+(0.0152*'Enteric fermentation'!W7))/6.25)</f>
        <v>0.03853525555034306</v>
      </c>
      <c r="X13" s="115" t="s">
        <v>91</v>
      </c>
      <c r="Y13" s="126"/>
      <c r="AC13" s="4"/>
      <c r="AD13" s="4"/>
      <c r="AE13" s="4"/>
      <c r="AF13" s="4"/>
      <c r="AG13" s="4"/>
      <c r="AH13" s="4"/>
      <c r="AI13" s="4"/>
      <c r="AJ13" s="3"/>
      <c r="AK13" s="3"/>
      <c r="AL13" s="3"/>
    </row>
    <row r="14" spans="2:38" ht="15.75">
      <c r="B14" s="113"/>
      <c r="C14" s="114" t="s">
        <v>34</v>
      </c>
      <c r="D14" s="114">
        <f>'Data input'!D30</f>
        <v>60</v>
      </c>
      <c r="E14" s="114">
        <f>'Data input'!E30</f>
        <v>60</v>
      </c>
      <c r="F14" s="114">
        <f>'Data input'!F30</f>
        <v>60</v>
      </c>
      <c r="G14" s="114">
        <f>'Data input'!G30</f>
        <v>60</v>
      </c>
      <c r="H14" s="114">
        <f>'Data input'!H30</f>
        <v>60</v>
      </c>
      <c r="I14" s="114">
        <f>'Data input'!I30</f>
        <v>60</v>
      </c>
      <c r="J14" s="114">
        <f>'Data input'!J30</f>
        <v>60</v>
      </c>
      <c r="K14" s="114">
        <f>'Data input'!K30</f>
        <v>60</v>
      </c>
      <c r="L14" s="114" t="str">
        <f>'Data input'!L30</f>
        <v>%</v>
      </c>
      <c r="N14" s="114"/>
      <c r="O14" s="114" t="s">
        <v>34</v>
      </c>
      <c r="P14" s="122">
        <f>((0.3*(P8*((1-((D14+10)/100))))+(0.105*(D19*'Enteric fermentation'!P8*0.008))+(0.08*(0.032*D$10))+(0.0152*'Enteric fermentation'!P8))/6.25)</f>
        <v>0.04993475468165119</v>
      </c>
      <c r="Q14" s="122">
        <f>((0.3*(Q8*((1-((E14+10)/100))))+(0.105*(E19*'Enteric fermentation'!Q8*0.008))+(0.08*(0.032*E$10))+(0.0152*'Enteric fermentation'!Q8))/6.25)</f>
        <v>0.015755143573899198</v>
      </c>
      <c r="R14" s="122">
        <f>((0.3*(R8*((1-((F14+10)/100))))+(0.105*(F19*'Enteric fermentation'!R8*0.008))+(0.08*(0.032*F$10))+(0.0152*'Enteric fermentation'!R8))/6.25)</f>
        <v>0.019158266046450736</v>
      </c>
      <c r="S14" s="122">
        <f>((0.3*(S8*((1-((G14+10)/100))))+(0.105*(G19*'Enteric fermentation'!S8*0.008))+(0.08*(0.032*G$10))+(0.0152*'Enteric fermentation'!S8))/6.25)</f>
        <v>0.03020853946634956</v>
      </c>
      <c r="T14" s="122">
        <f>((0.3*(T8*((1-((H14+10)/100))))+(0.105*(H19*'Enteric fermentation'!T8*0.008))+(0.08*(0.032*H$10))+(0.0152*'Enteric fermentation'!T8))/6.25)</f>
        <v>0.038411714436811205</v>
      </c>
      <c r="U14" s="122">
        <f>((0.3*(U8*((1-((I14+10)/100))))+(0.105*(I19*'Enteric fermentation'!U8*0.008))+(0.08*(0.032*I$10))+(0.0152*'Enteric fermentation'!U8))/6.25)</f>
        <v>0.015676666046450734</v>
      </c>
      <c r="V14" s="122">
        <f>((0.3*(V8*((1-((J14+10)/100))))+(0.105*(J19*'Enteric fermentation'!V8*0.008))+(0.08*(0.032*J$10))+(0.0152*'Enteric fermentation'!V8))/6.25)</f>
        <v>0.015676666046450734</v>
      </c>
      <c r="W14" s="122">
        <f>((0.3*(W8*((1-((K14+10)/100))))+(0.105*(K19*'Enteric fermentation'!W8*0.008))+(0.08*(0.032*K$10))+(0.0152*'Enteric fermentation'!W8))/6.25)</f>
        <v>0.035893344527985434</v>
      </c>
      <c r="X14" s="115" t="s">
        <v>91</v>
      </c>
      <c r="Y14" s="126"/>
      <c r="Z14" s="330"/>
      <c r="AC14" s="4"/>
      <c r="AD14" s="4"/>
      <c r="AE14" s="4"/>
      <c r="AF14" s="4"/>
      <c r="AG14" s="4"/>
      <c r="AH14" s="4"/>
      <c r="AI14" s="4"/>
      <c r="AJ14" s="3"/>
      <c r="AK14" s="3"/>
      <c r="AL14" s="3"/>
    </row>
    <row r="15" spans="2:38" ht="15.75">
      <c r="B15" s="113"/>
      <c r="C15" s="114" t="s">
        <v>35</v>
      </c>
      <c r="D15" s="114">
        <f>'Data input'!D31</f>
        <v>76</v>
      </c>
      <c r="E15" s="114">
        <f>'Data input'!E31</f>
        <v>76</v>
      </c>
      <c r="F15" s="114">
        <f>'Data input'!F31</f>
        <v>76</v>
      </c>
      <c r="G15" s="114">
        <f>'Data input'!G31</f>
        <v>76</v>
      </c>
      <c r="H15" s="114">
        <f>'Data input'!H31</f>
        <v>76</v>
      </c>
      <c r="I15" s="114">
        <f>'Data input'!I31</f>
        <v>76</v>
      </c>
      <c r="J15" s="114">
        <f>'Data input'!J31</f>
        <v>76</v>
      </c>
      <c r="K15" s="114">
        <f>'Data input'!K31</f>
        <v>76</v>
      </c>
      <c r="L15" s="114" t="str">
        <f>'Data input'!L31</f>
        <v>%</v>
      </c>
      <c r="N15" s="114"/>
      <c r="O15" s="114" t="s">
        <v>35</v>
      </c>
      <c r="P15" s="122">
        <f>((0.3*(P9*((1-((D15+10)/100))))+(0.105*(D20*'Enteric fermentation'!P9*0.008))+(0.08*(0.032*D$10))+(0.0152*'Enteric fermentation'!P9))/6.25)</f>
        <v>0.0538617062037348</v>
      </c>
      <c r="Q15" s="122">
        <f>((0.3*(Q9*((1-((E15+10)/100))))+(0.105*(E20*'Enteric fermentation'!Q9*0.008))+(0.08*(0.032*E$10))+(0.0152*'Enteric fermentation'!Q9))/6.25)</f>
        <v>0.02095949675935224</v>
      </c>
      <c r="R15" s="122">
        <f>((0.3*(R9*((1-((F15+10)/100))))+(0.105*(F20*'Enteric fermentation'!R9*0.008))+(0.08*(0.032*F$10))+(0.0152*'Enteric fermentation'!R9))/6.25)</f>
        <v>0.022274044961346554</v>
      </c>
      <c r="S15" s="122">
        <f>((0.3*(S9*((1-((G15+10)/100))))+(0.105*(G20*'Enteric fermentation'!S9*0.008))+(0.08*(0.032*G$10))+(0.0152*'Enteric fermentation'!S9))/6.25)</f>
        <v>0.031827847060297385</v>
      </c>
      <c r="T15" s="122">
        <f>((0.3*(T9*((1-((H15+10)/100))))+(0.105*(H20*'Enteric fermentation'!T9*0.008))+(0.08*(0.032*H$10))+(0.0152*'Enteric fermentation'!T9))/6.25)</f>
        <v>0.04229564231900765</v>
      </c>
      <c r="U15" s="122">
        <f>((0.3*(U9*((1-((I15+10)/100))))+(0.105*(I20*'Enteric fermentation'!U9*0.008))+(0.08*(0.032*I$10))+(0.0152*'Enteric fermentation'!U9))/6.25)</f>
        <v>0.019775484961346557</v>
      </c>
      <c r="V15" s="122">
        <f>((0.3*(V9*((1-((J15+10)/100))))+(0.105*(J20*'Enteric fermentation'!V9*0.008))+(0.08*(0.032*J$10))+(0.0152*'Enteric fermentation'!V9))/6.25)</f>
        <v>0.019775484961346557</v>
      </c>
      <c r="W15" s="122">
        <f>((0.3*(W9*((1-((K15+10)/100))))+(0.105*(K20*'Enteric fermentation'!W9*0.008))+(0.08*(0.032*K$10))+(0.0152*'Enteric fermentation'!W9))/6.25)</f>
        <v>0.041381595613487365</v>
      </c>
      <c r="X15" s="115" t="s">
        <v>91</v>
      </c>
      <c r="Y15" s="126"/>
      <c r="Z15" s="330"/>
      <c r="AC15" s="4"/>
      <c r="AD15" s="4"/>
      <c r="AE15" s="4"/>
      <c r="AF15" s="4"/>
      <c r="AG15" s="4"/>
      <c r="AH15" s="4"/>
      <c r="AI15" s="4"/>
      <c r="AJ15" s="3"/>
      <c r="AK15" s="3"/>
      <c r="AL15" s="3"/>
    </row>
    <row r="16" spans="2:38" ht="15.75">
      <c r="B16" s="113"/>
      <c r="C16" s="114"/>
      <c r="D16" s="114"/>
      <c r="E16" s="114"/>
      <c r="F16" s="114"/>
      <c r="G16" s="114"/>
      <c r="H16" s="114"/>
      <c r="I16" s="114"/>
      <c r="J16" s="114"/>
      <c r="K16" s="325"/>
      <c r="L16" s="114"/>
      <c r="N16" s="114"/>
      <c r="O16" s="114"/>
      <c r="P16" s="114"/>
      <c r="Q16" s="114"/>
      <c r="R16" s="114"/>
      <c r="S16" s="114"/>
      <c r="T16" s="114"/>
      <c r="U16" s="114"/>
      <c r="V16" s="114"/>
      <c r="W16" s="115"/>
      <c r="X16" s="115"/>
      <c r="Y16" s="126"/>
      <c r="AC16" s="3"/>
      <c r="AD16" s="3"/>
      <c r="AE16" s="3"/>
      <c r="AF16" s="3"/>
      <c r="AG16" s="3"/>
      <c r="AH16" s="3"/>
      <c r="AI16" s="3"/>
      <c r="AJ16" s="3"/>
      <c r="AK16" s="3"/>
      <c r="AL16" s="3"/>
    </row>
    <row r="17" spans="2:38" ht="15.75">
      <c r="B17" s="113" t="s">
        <v>199</v>
      </c>
      <c r="C17" s="114" t="s">
        <v>32</v>
      </c>
      <c r="D17" s="116">
        <f>0.1604*D12-1.037</f>
        <v>11.794999999999998</v>
      </c>
      <c r="E17" s="116">
        <f aca="true" t="shared" si="0" ref="E17:K17">0.1604*E12-1.037</f>
        <v>11.794999999999998</v>
      </c>
      <c r="F17" s="116">
        <f t="shared" si="0"/>
        <v>11.794999999999998</v>
      </c>
      <c r="G17" s="116">
        <f t="shared" si="0"/>
        <v>11.794999999999998</v>
      </c>
      <c r="H17" s="116">
        <f t="shared" si="0"/>
        <v>11.794999999999998</v>
      </c>
      <c r="I17" s="116">
        <f t="shared" si="0"/>
        <v>11.794999999999998</v>
      </c>
      <c r="J17" s="116">
        <f t="shared" si="0"/>
        <v>11.794999999999998</v>
      </c>
      <c r="K17" s="116">
        <f t="shared" si="0"/>
        <v>11.794999999999998</v>
      </c>
      <c r="L17" s="116" t="s">
        <v>200</v>
      </c>
      <c r="N17" s="113" t="s">
        <v>202</v>
      </c>
      <c r="O17" s="114"/>
      <c r="P17" s="113" t="s">
        <v>203</v>
      </c>
      <c r="Q17" s="114"/>
      <c r="R17" s="114"/>
      <c r="S17" s="114"/>
      <c r="T17" s="114"/>
      <c r="U17" s="114"/>
      <c r="V17" s="114"/>
      <c r="W17" s="115"/>
      <c r="X17" s="115" t="s">
        <v>91</v>
      </c>
      <c r="Y17" s="126" t="s">
        <v>204</v>
      </c>
      <c r="AC17" s="3"/>
      <c r="AD17" s="3"/>
      <c r="AE17" s="3"/>
      <c r="AF17" s="3"/>
      <c r="AG17" s="3"/>
      <c r="AH17" s="3"/>
      <c r="AI17" s="3"/>
      <c r="AJ17" s="3"/>
      <c r="AK17" s="3"/>
      <c r="AL17" s="3"/>
    </row>
    <row r="18" spans="2:38" ht="15.75">
      <c r="B18" s="114"/>
      <c r="C18" s="114" t="s">
        <v>33</v>
      </c>
      <c r="D18" s="116">
        <f aca="true" t="shared" si="1" ref="D18:K18">0.1604*D13-1.037</f>
        <v>7.784999999999999</v>
      </c>
      <c r="E18" s="116">
        <f t="shared" si="1"/>
        <v>7.784999999999999</v>
      </c>
      <c r="F18" s="116">
        <f t="shared" si="1"/>
        <v>7.784999999999999</v>
      </c>
      <c r="G18" s="116">
        <f t="shared" si="1"/>
        <v>7.784999999999999</v>
      </c>
      <c r="H18" s="116">
        <f t="shared" si="1"/>
        <v>7.784999999999999</v>
      </c>
      <c r="I18" s="116">
        <f t="shared" si="1"/>
        <v>7.784999999999999</v>
      </c>
      <c r="J18" s="116">
        <f t="shared" si="1"/>
        <v>7.784999999999999</v>
      </c>
      <c r="K18" s="116">
        <f t="shared" si="1"/>
        <v>7.784999999999999</v>
      </c>
      <c r="L18" s="116" t="s">
        <v>200</v>
      </c>
      <c r="N18" s="114"/>
      <c r="O18" s="114" t="s">
        <v>32</v>
      </c>
      <c r="P18" s="123">
        <f>((0.032*D22)+(0.212-0.008*('Enteric fermentation'!P26-2)-((0.14-0.008*('Enteric fermentation'!P26-2))/(1+EXP(-6*(D37-0.4)))))*(D32*0.92))/6.25</f>
        <v>0.012088238467881327</v>
      </c>
      <c r="Q18" s="123">
        <f>((0.032*E22)+(0.212-0.008*('Enteric fermentation'!Q26-2)-((0.14-0.008*('Enteric fermentation'!Q26-2))/(1+EXP(-6*(E37-0.4)))))*(E32*0.92))/6.25</f>
        <v>0.026028110352171497</v>
      </c>
      <c r="R18" s="123">
        <f>((0.032*F22)+(0.212-0.008*('Enteric fermentation'!R26-2)-((0.14-0.008*('Enteric fermentation'!R26-2))/(1+EXP(-6*(F37-0.4)))))*(F32*0.92))/6.25</f>
        <v>0.024689011822333587</v>
      </c>
      <c r="S18" s="123">
        <f>((0.032*G22)+(0.212-0.008*('Enteric fermentation'!S26-2)-((0.14-0.008*('Enteric fermentation'!S26-2))/(1+EXP(-6*(G37-0.4)))))*(G32*0.92))/6.25</f>
        <v>0.012870162751364154</v>
      </c>
      <c r="T18" s="123">
        <f>((0.032*H22)+(0.212-0.008*('Enteric fermentation'!T26-2)-((0.14-0.008*('Enteric fermentation'!T26-2))/(1+EXP(-6*(H37-0.4)))))*(H32*0.92))/6.25</f>
        <v>0.028401180514376616</v>
      </c>
      <c r="U18" s="123">
        <f>((0.032*I22)+(0.212-0.008*('Enteric fermentation'!U26-2)-((0.14-0.008*('Enteric fermentation'!U26-2))/(1+EXP(-6*(I37-0.4)))))*(I32*0.92))/6.25</f>
        <v>0.039542710160958325</v>
      </c>
      <c r="V18" s="123">
        <f>((0.032*J22)+(0.212-0.008*('Enteric fermentation'!V26-2)-((0.14-0.008*('Enteric fermentation'!V26-2))/(1+EXP(-6*(J37-0.4)))))*(J32*0.92))/6.25</f>
        <v>0.024689011822333587</v>
      </c>
      <c r="W18" s="123">
        <f>((0.032*K22)+(0.212-0.008*('Enteric fermentation'!W26-2)-((0.14-0.008*('Enteric fermentation'!W26-2))/(1+EXP(-6*(K37-0.4)))))*(K32*0.92))/6.25</f>
        <v>0.009764406731584118</v>
      </c>
      <c r="X18" s="115" t="s">
        <v>91</v>
      </c>
      <c r="Y18" s="126"/>
      <c r="AC18" s="3"/>
      <c r="AD18" s="3"/>
      <c r="AE18" s="3"/>
      <c r="AF18" s="3"/>
      <c r="AG18" s="3"/>
      <c r="AH18" s="3"/>
      <c r="AI18" s="3"/>
      <c r="AJ18" s="3"/>
      <c r="AK18" s="3"/>
      <c r="AL18" s="3"/>
    </row>
    <row r="19" spans="2:38" ht="15.75">
      <c r="B19" s="114"/>
      <c r="C19" s="114" t="s">
        <v>34</v>
      </c>
      <c r="D19" s="116">
        <f aca="true" t="shared" si="2" ref="D19:K19">0.1604*D14-1.037</f>
        <v>8.587</v>
      </c>
      <c r="E19" s="116">
        <f t="shared" si="2"/>
        <v>8.587</v>
      </c>
      <c r="F19" s="116">
        <f t="shared" si="2"/>
        <v>8.587</v>
      </c>
      <c r="G19" s="116">
        <f t="shared" si="2"/>
        <v>8.587</v>
      </c>
      <c r="H19" s="116">
        <f t="shared" si="2"/>
        <v>8.587</v>
      </c>
      <c r="I19" s="116">
        <f t="shared" si="2"/>
        <v>8.587</v>
      </c>
      <c r="J19" s="116">
        <f t="shared" si="2"/>
        <v>8.587</v>
      </c>
      <c r="K19" s="116">
        <f t="shared" si="2"/>
        <v>8.587</v>
      </c>
      <c r="L19" s="116" t="s">
        <v>200</v>
      </c>
      <c r="N19" s="114"/>
      <c r="O19" s="114" t="s">
        <v>33</v>
      </c>
      <c r="P19" s="123">
        <f>((0.032*D23)+(0.212-0.008*('Enteric fermentation'!P27-2)-((0.14-0.008*('Enteric fermentation'!P27-2))/(1+EXP(-6*(D38-0.4)))))*(D33*0.92))/6.25</f>
        <v>0.00360089294275154</v>
      </c>
      <c r="Q19" s="123">
        <f>((0.032*E23)+(0.212-0.008*('Enteric fermentation'!Q27-2)-((0.14-0.008*('Enteric fermentation'!Q27-2))/(1+EXP(-6*(E38-0.4)))))*(E33*0.92))/6.25</f>
        <v>0.007462346052572966</v>
      </c>
      <c r="R19" s="123">
        <f>((0.032*F23)+(0.212-0.008*('Enteric fermentation'!R27-2)-((0.14-0.008*('Enteric fermentation'!R27-2))/(1+EXP(-6*(F38-0.4)))))*(F33*0.92))/6.25</f>
        <v>0.0069759810430649934</v>
      </c>
      <c r="S19" s="123">
        <f>((0.032*G23)+(0.212-0.008*('Enteric fermentation'!S27-2)-((0.14-0.008*('Enteric fermentation'!S27-2))/(1+EXP(-6*(G38-0.4)))))*(G33*0.92))/6.25</f>
        <v>0.004092864442579466</v>
      </c>
      <c r="T19" s="123">
        <f>((0.032*H23)+(0.212-0.008*('Enteric fermentation'!T27-2)-((0.14-0.008*('Enteric fermentation'!T27-2))/(1+EXP(-6*(H38-0.4)))))*(H33*0.92))/6.25</f>
        <v>0.011938409541538289</v>
      </c>
      <c r="U19" s="123">
        <f>((0.032*I23)+(0.212-0.008*('Enteric fermentation'!U27-2)-((0.14-0.008*('Enteric fermentation'!U27-2))/(1+EXP(-6*(I38-0.4)))))*(I33*0.92))/6.25</f>
        <v>0.017262810978778794</v>
      </c>
      <c r="V19" s="123">
        <f>((0.032*J23)+(0.212-0.008*('Enteric fermentation'!V27-2)-((0.14-0.008*('Enteric fermentation'!V27-2))/(1+EXP(-6*(J38-0.4)))))*(J33*0.92))/6.25</f>
        <v>0.006502233033955156</v>
      </c>
      <c r="W19" s="123">
        <f>((0.032*K23)+(0.212-0.008*('Enteric fermentation'!W27-2)-((0.14-0.008*('Enteric fermentation'!W27-2))/(1+EXP(-6*(K38-0.4)))))*(K33*0.92))/6.25</f>
        <v>0.0013785573171838678</v>
      </c>
      <c r="X19" s="115" t="s">
        <v>91</v>
      </c>
      <c r="Y19" s="126"/>
      <c r="AC19" s="3"/>
      <c r="AD19" s="3"/>
      <c r="AE19" s="3"/>
      <c r="AF19" s="3"/>
      <c r="AG19" s="3"/>
      <c r="AH19" s="3"/>
      <c r="AI19" s="3"/>
      <c r="AJ19" s="3"/>
      <c r="AK19" s="3"/>
      <c r="AL19" s="3"/>
    </row>
    <row r="20" spans="2:38" ht="15.75">
      <c r="B20" s="114"/>
      <c r="C20" s="114" t="s">
        <v>35</v>
      </c>
      <c r="D20" s="116">
        <f aca="true" t="shared" si="3" ref="D20:K20">0.1604*D15-1.037</f>
        <v>11.153399999999998</v>
      </c>
      <c r="E20" s="116">
        <f t="shared" si="3"/>
        <v>11.153399999999998</v>
      </c>
      <c r="F20" s="116">
        <f t="shared" si="3"/>
        <v>11.153399999999998</v>
      </c>
      <c r="G20" s="116">
        <f t="shared" si="3"/>
        <v>11.153399999999998</v>
      </c>
      <c r="H20" s="116">
        <f t="shared" si="3"/>
        <v>11.153399999999998</v>
      </c>
      <c r="I20" s="116">
        <f t="shared" si="3"/>
        <v>11.153399999999998</v>
      </c>
      <c r="J20" s="116">
        <f t="shared" si="3"/>
        <v>11.153399999999998</v>
      </c>
      <c r="K20" s="116">
        <f t="shared" si="3"/>
        <v>11.153399999999998</v>
      </c>
      <c r="L20" s="116" t="s">
        <v>200</v>
      </c>
      <c r="N20" s="114"/>
      <c r="O20" s="114" t="s">
        <v>34</v>
      </c>
      <c r="P20" s="123">
        <f>((0.032*D24)+(0.212-0.008*('Enteric fermentation'!P28-2)-((0.14-0.008*('Enteric fermentation'!P28-2))/(1+EXP(-6*(D39-0.4)))))*(D34*0.92))/6.25</f>
        <v>0.0023154077550156544</v>
      </c>
      <c r="Q20" s="123">
        <f>((0.032*E24)+(0.212-0.008*('Enteric fermentation'!Q28-2)-((0.14-0.008*('Enteric fermentation'!Q28-2))/(1+EXP(-6*(E39-0.4)))))*(E34*0.92))/6.25</f>
        <v>0.01429293776809247</v>
      </c>
      <c r="R20" s="123">
        <f>((0.032*F24)+(0.212-0.008*('Enteric fermentation'!R28-2)-((0.14-0.008*('Enteric fermentation'!R28-2))/(1+EXP(-6*(F39-0.4)))))*(F34*0.92))/6.25</f>
        <v>0.015567346334886793</v>
      </c>
      <c r="S20" s="123">
        <f>((0.032*G24)+(0.212-0.008*('Enteric fermentation'!S28-2)-((0.14-0.008*('Enteric fermentation'!S28-2))/(1+EXP(-6*(G39-0.4)))))*(G34*0.92))/6.25</f>
        <v>0.0074692204769956</v>
      </c>
      <c r="T20" s="123">
        <f>((0.032*H24)+(0.212-0.008*('Enteric fermentation'!T28-2)-((0.14-0.008*('Enteric fermentation'!T28-2))/(1+EXP(-6*(H39-0.4)))))*(H34*0.92))/6.25</f>
        <v>0.0024466011067008062</v>
      </c>
      <c r="U20" s="123">
        <f>((0.032*I24)+(0.212-0.008*('Enteric fermentation'!U28-2)-((0.14-0.008*('Enteric fermentation'!U28-2))/(1+EXP(-6*(I39-0.4)))))*(I34*0.92))/6.25</f>
        <v>0.015252747184963202</v>
      </c>
      <c r="V20" s="123">
        <f>((0.032*J24)+(0.212-0.008*('Enteric fermentation'!V28-2)-((0.14-0.008*('Enteric fermentation'!V28-2))/(1+EXP(-6*(J39-0.4)))))*(J34*0.92))/6.25</f>
        <v>0.015567346334886793</v>
      </c>
      <c r="W20" s="123">
        <f>((0.032*K24)+(0.212-0.008*('Enteric fermentation'!W28-2)-((0.14-0.008*('Enteric fermentation'!W28-2))/(1+EXP(-6*(K39-0.4)))))*(K34*0.92))/6.25</f>
        <v>0.003030566967317414</v>
      </c>
      <c r="X20" s="115" t="s">
        <v>91</v>
      </c>
      <c r="Y20" s="126"/>
      <c r="AC20" s="3"/>
      <c r="AD20" s="3"/>
      <c r="AE20" s="3"/>
      <c r="AF20" s="3"/>
      <c r="AG20" s="3"/>
      <c r="AH20" s="3"/>
      <c r="AI20" s="3"/>
      <c r="AJ20" s="3"/>
      <c r="AK20" s="3"/>
      <c r="AL20" s="3"/>
    </row>
    <row r="21" spans="2:38" ht="15.75">
      <c r="B21" s="114"/>
      <c r="C21" s="114"/>
      <c r="D21" s="114"/>
      <c r="E21" s="114"/>
      <c r="F21" s="114"/>
      <c r="G21" s="114"/>
      <c r="H21" s="114"/>
      <c r="I21" s="114"/>
      <c r="J21" s="114"/>
      <c r="K21" s="325"/>
      <c r="L21" s="114"/>
      <c r="N21" s="114"/>
      <c r="O21" s="114" t="s">
        <v>35</v>
      </c>
      <c r="P21" s="123">
        <f>((0.032*D25)+(0.212-0.008*('Enteric fermentation'!P29-2)-((0.14-0.008*('Enteric fermentation'!P29-2))/(1+EXP(-6*(D40-0.4)))))*(D35*0.92))/6.25</f>
        <v>0.002517044487133679</v>
      </c>
      <c r="Q21" s="123">
        <f>((0.032*E25)+(0.212-0.008*('Enteric fermentation'!Q29-2)-((0.14-0.008*('Enteric fermentation'!Q29-2))/(1+EXP(-6*(E40-0.4)))))*(E35*0.92))/6.25</f>
        <v>0.015002817165910337</v>
      </c>
      <c r="R21" s="123">
        <f>((0.032*F25)+(0.212-0.008*('Enteric fermentation'!R29-2)-((0.14-0.008*('Enteric fermentation'!R29-2))/(1+EXP(-6*(F40-0.4)))))*(F35*0.92))/6.25</f>
        <v>0.013177031609751406</v>
      </c>
      <c r="S21" s="123">
        <f>((0.032*G25)+(0.212-0.008*('Enteric fermentation'!S29-2)-((0.14-0.008*('Enteric fermentation'!S29-2))/(1+EXP(-6*(G40-0.4)))))*(G35*0.92))/6.25</f>
        <v>0.0035329291057988096</v>
      </c>
      <c r="T21" s="123">
        <f>((0.032*H25)+(0.212-0.008*('Enteric fermentation'!T29-2)-((0.14-0.008*('Enteric fermentation'!T29-2))/(1+EXP(-6*(H40-0.4)))))*(H35*0.92))/6.25</f>
        <v>0.00262503367061346</v>
      </c>
      <c r="U21" s="123">
        <f>((0.032*I25)+(0.212-0.008*('Enteric fermentation'!U29-2)-((0.14-0.008*('Enteric fermentation'!U29-2))/(1+EXP(-6*(I40-0.4)))))*(I35*0.92))/6.25</f>
        <v>0.012648300318058733</v>
      </c>
      <c r="V21" s="123">
        <f>((0.032*J25)+(0.212-0.008*('Enteric fermentation'!V29-2)-((0.14-0.008*('Enteric fermentation'!V29-2))/(1+EXP(-6*(J40-0.4)))))*(J35*0.92))/6.25</f>
        <v>0.013177031609751406</v>
      </c>
      <c r="W21" s="123">
        <f>((0.032*K25)+(0.212-0.008*('Enteric fermentation'!W29-2)-((0.14-0.008*('Enteric fermentation'!W29-2))/(1+EXP(-6*(K40-0.4)))))*(K35*0.92))/6.25</f>
        <v>0.004699969793141339</v>
      </c>
      <c r="X21" s="115"/>
      <c r="Y21" s="126"/>
      <c r="AC21" s="3"/>
      <c r="AD21" s="3"/>
      <c r="AE21" s="3"/>
      <c r="AF21" s="3"/>
      <c r="AG21" s="3"/>
      <c r="AH21" s="3"/>
      <c r="AI21" s="3"/>
      <c r="AJ21" s="3"/>
      <c r="AK21" s="3"/>
      <c r="AL21" s="3"/>
    </row>
    <row r="22" spans="2:38" ht="15.75">
      <c r="B22" s="113" t="s">
        <v>210</v>
      </c>
      <c r="C22" s="114" t="s">
        <v>32</v>
      </c>
      <c r="D22" s="114">
        <v>0</v>
      </c>
      <c r="E22" s="114">
        <v>0</v>
      </c>
      <c r="F22" s="114">
        <v>0</v>
      </c>
      <c r="G22" s="114">
        <v>0</v>
      </c>
      <c r="H22" s="114">
        <f>'Data input'!G54*'Data input'!F54</f>
        <v>3.4</v>
      </c>
      <c r="I22" s="114">
        <f>'Data input'!H54*'Data input'!F54</f>
        <v>3.4</v>
      </c>
      <c r="J22" s="114">
        <v>0</v>
      </c>
      <c r="K22" s="114">
        <v>0</v>
      </c>
      <c r="L22" s="114" t="s">
        <v>91</v>
      </c>
      <c r="N22" s="114"/>
      <c r="O22" s="114"/>
      <c r="P22" s="114"/>
      <c r="Q22" s="114"/>
      <c r="R22" s="114"/>
      <c r="S22" s="114"/>
      <c r="T22" s="114"/>
      <c r="U22" s="114"/>
      <c r="V22" s="114"/>
      <c r="W22" s="115"/>
      <c r="X22" s="115"/>
      <c r="Y22" s="126"/>
      <c r="AC22" s="3"/>
      <c r="AD22" s="3"/>
      <c r="AE22" s="3"/>
      <c r="AF22" s="3"/>
      <c r="AG22" s="3"/>
      <c r="AH22" s="3"/>
      <c r="AI22" s="3"/>
      <c r="AJ22" s="3"/>
      <c r="AK22" s="3"/>
      <c r="AL22" s="3"/>
    </row>
    <row r="23" spans="2:38" ht="15.75">
      <c r="B23" s="114"/>
      <c r="C23" s="114" t="s">
        <v>33</v>
      </c>
      <c r="D23" s="114">
        <v>0</v>
      </c>
      <c r="E23" s="114">
        <v>0</v>
      </c>
      <c r="F23" s="114">
        <v>0</v>
      </c>
      <c r="G23" s="114">
        <v>0</v>
      </c>
      <c r="H23" s="114">
        <f>'Data input'!G55*'Data input'!F55</f>
        <v>2.55</v>
      </c>
      <c r="I23" s="114">
        <f>'Data input'!H55*'Data input'!F55</f>
        <v>2.55</v>
      </c>
      <c r="J23" s="114">
        <v>0</v>
      </c>
      <c r="K23" s="114">
        <v>0</v>
      </c>
      <c r="L23" s="114" t="s">
        <v>91</v>
      </c>
      <c r="N23" s="114"/>
      <c r="O23" s="119" t="s">
        <v>205</v>
      </c>
      <c r="P23" s="110"/>
      <c r="Q23" s="110"/>
      <c r="R23" s="110"/>
      <c r="S23" s="110"/>
      <c r="T23" s="110"/>
      <c r="U23" s="110"/>
      <c r="V23" s="120"/>
      <c r="W23" s="115"/>
      <c r="X23" s="115" t="s">
        <v>151</v>
      </c>
      <c r="Y23" s="126" t="s">
        <v>212</v>
      </c>
      <c r="AC23" s="3"/>
      <c r="AD23" s="3"/>
      <c r="AE23" s="3"/>
      <c r="AF23" s="3"/>
      <c r="AG23" s="3"/>
      <c r="AH23" s="3"/>
      <c r="AI23" s="3"/>
      <c r="AJ23" s="3"/>
      <c r="AK23" s="3"/>
      <c r="AL23" s="3"/>
    </row>
    <row r="24" spans="2:38" ht="15.75">
      <c r="B24" s="114"/>
      <c r="C24" s="114" t="s">
        <v>34</v>
      </c>
      <c r="D24" s="114">
        <v>0</v>
      </c>
      <c r="E24" s="114">
        <v>0</v>
      </c>
      <c r="F24" s="114">
        <v>0</v>
      </c>
      <c r="G24" s="114">
        <v>0</v>
      </c>
      <c r="H24" s="114">
        <f>'Data input'!G56*'Data input'!F56</f>
        <v>0</v>
      </c>
      <c r="I24" s="114">
        <f>'Data input'!H56*'Data input'!F56</f>
        <v>0</v>
      </c>
      <c r="J24" s="114">
        <v>0</v>
      </c>
      <c r="K24" s="114">
        <v>0</v>
      </c>
      <c r="L24" s="114" t="s">
        <v>91</v>
      </c>
      <c r="N24" s="114"/>
      <c r="O24" s="349" t="s">
        <v>100</v>
      </c>
      <c r="P24" s="110" t="s">
        <v>4</v>
      </c>
      <c r="Q24" s="110" t="s">
        <v>95</v>
      </c>
      <c r="R24" s="110" t="s">
        <v>96</v>
      </c>
      <c r="S24" s="110" t="s">
        <v>5</v>
      </c>
      <c r="T24" s="110" t="s">
        <v>6</v>
      </c>
      <c r="U24" s="110" t="s">
        <v>98</v>
      </c>
      <c r="V24" s="120" t="s">
        <v>99</v>
      </c>
      <c r="W24" s="115"/>
      <c r="X24" s="115"/>
      <c r="Y24" s="126"/>
      <c r="AC24" s="3"/>
      <c r="AD24" s="3"/>
      <c r="AE24" s="3"/>
      <c r="AF24" s="3"/>
      <c r="AG24" s="3"/>
      <c r="AH24" s="3"/>
      <c r="AI24" s="3"/>
      <c r="AJ24" s="3"/>
      <c r="AK24" s="3"/>
      <c r="AL24" s="3"/>
    </row>
    <row r="25" spans="2:38" ht="15.75">
      <c r="B25" s="114"/>
      <c r="C25" s="114" t="s">
        <v>35</v>
      </c>
      <c r="D25" s="114">
        <v>0</v>
      </c>
      <c r="E25" s="114">
        <v>0</v>
      </c>
      <c r="F25" s="114">
        <v>0</v>
      </c>
      <c r="G25" s="114">
        <v>0</v>
      </c>
      <c r="H25" s="114">
        <f>'Data input'!G57*'Data input'!F57</f>
        <v>0</v>
      </c>
      <c r="I25" s="114">
        <f>'Data input'!H57*'Data input'!F57</f>
        <v>0</v>
      </c>
      <c r="J25" s="114">
        <v>0</v>
      </c>
      <c r="K25" s="114">
        <v>0</v>
      </c>
      <c r="L25" s="114" t="s">
        <v>91</v>
      </c>
      <c r="N25" s="114"/>
      <c r="O25" s="350" t="s">
        <v>102</v>
      </c>
      <c r="P25" s="114">
        <v>700</v>
      </c>
      <c r="Q25" s="114">
        <v>700</v>
      </c>
      <c r="R25" s="114">
        <v>600</v>
      </c>
      <c r="S25" s="114">
        <v>500</v>
      </c>
      <c r="T25" s="114">
        <v>500</v>
      </c>
      <c r="U25" s="114">
        <v>500</v>
      </c>
      <c r="V25" s="121">
        <v>600</v>
      </c>
      <c r="W25" s="115"/>
      <c r="X25" s="115"/>
      <c r="Y25" s="126"/>
      <c r="AC25" s="3"/>
      <c r="AD25" s="3"/>
      <c r="AE25" s="3"/>
      <c r="AF25" s="3"/>
      <c r="AG25" s="3"/>
      <c r="AH25" s="3"/>
      <c r="AI25" s="3"/>
      <c r="AJ25" s="3"/>
      <c r="AK25" s="3"/>
      <c r="AL25" s="3"/>
    </row>
    <row r="26" spans="2:38" ht="15.75">
      <c r="B26" s="114"/>
      <c r="C26" s="114"/>
      <c r="D26" s="114"/>
      <c r="E26" s="114"/>
      <c r="F26" s="114"/>
      <c r="G26" s="114"/>
      <c r="H26" s="114"/>
      <c r="I26" s="114"/>
      <c r="J26" s="114"/>
      <c r="K26" s="325"/>
      <c r="L26" s="114"/>
      <c r="N26" s="114"/>
      <c r="O26" s="350" t="s">
        <v>206</v>
      </c>
      <c r="P26" s="114">
        <v>770</v>
      </c>
      <c r="Q26" s="114">
        <v>770</v>
      </c>
      <c r="R26" s="114">
        <v>660</v>
      </c>
      <c r="S26" s="114">
        <v>550</v>
      </c>
      <c r="T26" s="114">
        <v>550</v>
      </c>
      <c r="U26" s="114">
        <v>550</v>
      </c>
      <c r="V26" s="121">
        <v>660</v>
      </c>
      <c r="W26" s="115"/>
      <c r="X26" s="115"/>
      <c r="Y26" s="126"/>
      <c r="AC26" s="3"/>
      <c r="AD26" s="3"/>
      <c r="AE26" s="3"/>
      <c r="AF26" s="3"/>
      <c r="AG26" s="3"/>
      <c r="AH26" s="3"/>
      <c r="AI26" s="3"/>
      <c r="AJ26" s="3"/>
      <c r="AK26" s="3"/>
      <c r="AL26" s="3"/>
    </row>
    <row r="27" spans="2:38" ht="15.75">
      <c r="B27" s="113" t="s">
        <v>154</v>
      </c>
      <c r="C27" s="114" t="s">
        <v>32</v>
      </c>
      <c r="D27" s="114">
        <f>'Data input'!D10</f>
        <v>820</v>
      </c>
      <c r="E27" s="114">
        <f>'Data input'!E10</f>
        <v>250</v>
      </c>
      <c r="F27" s="114">
        <f>'Data input'!F10</f>
        <v>240</v>
      </c>
      <c r="G27" s="114">
        <f>'Data input'!G10</f>
        <v>410</v>
      </c>
      <c r="H27" s="114">
        <f>'Data input'!H10</f>
        <v>560</v>
      </c>
      <c r="I27" s="114">
        <f>'Data input'!I10</f>
        <v>240</v>
      </c>
      <c r="J27" s="114">
        <f>'Data input'!J10</f>
        <v>240</v>
      </c>
      <c r="K27" s="114">
        <f>'Data input'!K10</f>
        <v>510</v>
      </c>
      <c r="L27" s="114" t="str">
        <f>'Data input'!L10</f>
        <v>kg/head</v>
      </c>
      <c r="N27" s="114"/>
      <c r="O27" s="350" t="s">
        <v>207</v>
      </c>
      <c r="P27" s="114">
        <v>770</v>
      </c>
      <c r="Q27" s="114">
        <v>770</v>
      </c>
      <c r="R27" s="114">
        <v>660</v>
      </c>
      <c r="S27" s="114">
        <v>550</v>
      </c>
      <c r="T27" s="114">
        <v>550</v>
      </c>
      <c r="U27" s="114">
        <v>550</v>
      </c>
      <c r="V27" s="121">
        <v>660</v>
      </c>
      <c r="W27" s="115"/>
      <c r="X27" s="115"/>
      <c r="Y27" s="126"/>
      <c r="AC27" s="3"/>
      <c r="AD27" s="3"/>
      <c r="AE27" s="3"/>
      <c r="AF27" s="3"/>
      <c r="AG27" s="3"/>
      <c r="AH27" s="3"/>
      <c r="AI27" s="3"/>
      <c r="AJ27" s="3"/>
      <c r="AK27" s="3"/>
      <c r="AL27" s="3"/>
    </row>
    <row r="28" spans="2:38" ht="15.75">
      <c r="B28" s="114"/>
      <c r="C28" s="114" t="s">
        <v>33</v>
      </c>
      <c r="D28" s="114">
        <f>'Data input'!D11</f>
        <v>850</v>
      </c>
      <c r="E28" s="114">
        <f>'Data input'!E11</f>
        <v>280</v>
      </c>
      <c r="F28" s="114">
        <f>'Data input'!F11</f>
        <v>270</v>
      </c>
      <c r="G28" s="114">
        <f>'Data input'!G11</f>
        <v>440</v>
      </c>
      <c r="H28" s="114">
        <f>'Data input'!H11</f>
        <v>550</v>
      </c>
      <c r="I28" s="114">
        <f>'Data input'!I11</f>
        <v>260</v>
      </c>
      <c r="J28" s="114">
        <f>'Data input'!J11</f>
        <v>50</v>
      </c>
      <c r="K28" s="114">
        <f>'Data input'!K11</f>
        <v>520</v>
      </c>
      <c r="L28" s="114" t="str">
        <f>'Data input'!L11</f>
        <v>kg/head</v>
      </c>
      <c r="N28" s="114"/>
      <c r="O28" s="350" t="s">
        <v>105</v>
      </c>
      <c r="P28" s="114">
        <v>770</v>
      </c>
      <c r="Q28" s="114">
        <v>770</v>
      </c>
      <c r="R28" s="114">
        <v>660</v>
      </c>
      <c r="S28" s="114">
        <v>550</v>
      </c>
      <c r="T28" s="114">
        <v>550</v>
      </c>
      <c r="U28" s="114">
        <v>550</v>
      </c>
      <c r="V28" s="121">
        <v>660</v>
      </c>
      <c r="W28" s="115"/>
      <c r="X28" s="115"/>
      <c r="Y28" s="126"/>
      <c r="AC28" s="3"/>
      <c r="AD28" s="3"/>
      <c r="AE28" s="3"/>
      <c r="AF28" s="3"/>
      <c r="AG28" s="3"/>
      <c r="AH28" s="3"/>
      <c r="AI28" s="3"/>
      <c r="AJ28" s="3"/>
      <c r="AK28" s="3"/>
      <c r="AL28" s="3"/>
    </row>
    <row r="29" spans="2:38" ht="15.75">
      <c r="B29" s="114"/>
      <c r="C29" s="114" t="s">
        <v>34</v>
      </c>
      <c r="D29" s="114">
        <f>'Data input'!D12</f>
        <v>700</v>
      </c>
      <c r="E29" s="114">
        <f>'Data input'!E12</f>
        <v>100</v>
      </c>
      <c r="F29" s="114">
        <f>'Data input'!F12</f>
        <v>95</v>
      </c>
      <c r="G29" s="114">
        <f>'Data input'!G12</f>
        <v>300</v>
      </c>
      <c r="H29" s="114">
        <f>'Data input'!H12</f>
        <v>450</v>
      </c>
      <c r="I29" s="114">
        <f>'Data input'!I12</f>
        <v>95</v>
      </c>
      <c r="J29" s="114">
        <f>'Data input'!J12</f>
        <v>95</v>
      </c>
      <c r="K29" s="114">
        <f>'Data input'!K12</f>
        <v>410</v>
      </c>
      <c r="L29" s="114" t="str">
        <f>'Data input'!L12</f>
        <v>kg/head</v>
      </c>
      <c r="N29" s="114"/>
      <c r="O29" s="350" t="s">
        <v>208</v>
      </c>
      <c r="P29" s="114">
        <v>770</v>
      </c>
      <c r="Q29" s="114">
        <v>770</v>
      </c>
      <c r="R29" s="114">
        <v>660</v>
      </c>
      <c r="S29" s="114">
        <v>550</v>
      </c>
      <c r="T29" s="114">
        <v>550</v>
      </c>
      <c r="U29" s="114">
        <v>550</v>
      </c>
      <c r="V29" s="121">
        <v>660</v>
      </c>
      <c r="W29" s="115"/>
      <c r="X29" s="115"/>
      <c r="Y29" s="126"/>
      <c r="AC29" s="3"/>
      <c r="AD29" s="3"/>
      <c r="AE29" s="3"/>
      <c r="AF29" s="3"/>
      <c r="AG29" s="3"/>
      <c r="AH29" s="3"/>
      <c r="AI29" s="3"/>
      <c r="AJ29" s="3"/>
      <c r="AK29" s="3"/>
      <c r="AL29" s="3"/>
    </row>
    <row r="30" spans="2:38" ht="15.75">
      <c r="B30" s="114"/>
      <c r="C30" s="114" t="s">
        <v>35</v>
      </c>
      <c r="D30" s="114">
        <f>'Data input'!D13</f>
        <v>720</v>
      </c>
      <c r="E30" s="114">
        <f>'Data input'!E13</f>
        <v>150</v>
      </c>
      <c r="F30" s="114">
        <f>'Data input'!F13</f>
        <v>140</v>
      </c>
      <c r="G30" s="114">
        <f>'Data input'!G13</f>
        <v>320</v>
      </c>
      <c r="H30" s="114">
        <f>'Data input'!H13</f>
        <v>470</v>
      </c>
      <c r="I30" s="114">
        <f>'Data input'!I13</f>
        <v>140</v>
      </c>
      <c r="J30" s="114">
        <f>'Data input'!J13</f>
        <v>140</v>
      </c>
      <c r="K30" s="114">
        <f>'Data input'!K13</f>
        <v>440</v>
      </c>
      <c r="L30" s="114" t="str">
        <f>'Data input'!L13</f>
        <v>kg/head</v>
      </c>
      <c r="N30" s="114"/>
      <c r="O30" s="350" t="s">
        <v>209</v>
      </c>
      <c r="P30" s="114">
        <v>770</v>
      </c>
      <c r="Q30" s="114">
        <v>770</v>
      </c>
      <c r="R30" s="114">
        <v>660</v>
      </c>
      <c r="S30" s="114">
        <v>550</v>
      </c>
      <c r="T30" s="114">
        <v>550</v>
      </c>
      <c r="U30" s="114">
        <v>550</v>
      </c>
      <c r="V30" s="121">
        <v>660</v>
      </c>
      <c r="W30" s="115"/>
      <c r="X30" s="115"/>
      <c r="Y30" s="126"/>
      <c r="AC30" s="3"/>
      <c r="AD30" s="3"/>
      <c r="AE30" s="3"/>
      <c r="AF30" s="3"/>
      <c r="AG30" s="3"/>
      <c r="AH30" s="3"/>
      <c r="AI30" s="3"/>
      <c r="AJ30" s="3"/>
      <c r="AK30" s="3"/>
      <c r="AL30" s="3"/>
    </row>
    <row r="31" spans="2:38" ht="15.75">
      <c r="B31" s="114"/>
      <c r="C31" s="114"/>
      <c r="D31" s="114"/>
      <c r="E31" s="114"/>
      <c r="F31" s="114"/>
      <c r="G31" s="114"/>
      <c r="H31" s="114"/>
      <c r="I31" s="114"/>
      <c r="J31" s="114"/>
      <c r="K31" s="325"/>
      <c r="L31" s="114"/>
      <c r="N31" s="114"/>
      <c r="O31" s="350" t="s">
        <v>109</v>
      </c>
      <c r="P31" s="114">
        <v>770</v>
      </c>
      <c r="Q31" s="114">
        <v>770</v>
      </c>
      <c r="R31" s="114">
        <v>660</v>
      </c>
      <c r="S31" s="114">
        <v>550</v>
      </c>
      <c r="T31" s="114">
        <v>550</v>
      </c>
      <c r="U31" s="114">
        <v>550</v>
      </c>
      <c r="V31" s="121">
        <v>660</v>
      </c>
      <c r="W31" s="115"/>
      <c r="X31" s="115"/>
      <c r="Y31" s="126"/>
      <c r="AC31" s="3"/>
      <c r="AD31" s="3"/>
      <c r="AE31" s="3"/>
      <c r="AF31" s="3"/>
      <c r="AG31" s="3"/>
      <c r="AH31" s="3"/>
      <c r="AI31" s="3"/>
      <c r="AJ31" s="3"/>
      <c r="AK31" s="3"/>
      <c r="AL31" s="3"/>
    </row>
    <row r="32" spans="2:38" ht="15.75">
      <c r="B32" s="113" t="s">
        <v>430</v>
      </c>
      <c r="C32" s="114" t="s">
        <v>32</v>
      </c>
      <c r="D32" s="114">
        <f>'Data input'!D16</f>
        <v>1.1</v>
      </c>
      <c r="E32" s="114">
        <f>'Data input'!E16</f>
        <v>1.1</v>
      </c>
      <c r="F32" s="114">
        <f>'Data input'!F16</f>
        <v>1.1</v>
      </c>
      <c r="G32" s="114">
        <f>'Data input'!G16</f>
        <v>0.99</v>
      </c>
      <c r="H32" s="114">
        <f>'Data input'!H16</f>
        <v>0.99</v>
      </c>
      <c r="I32" s="114">
        <f>'Data input'!I16</f>
        <v>1.1</v>
      </c>
      <c r="J32" s="114">
        <f>'Data input'!J16</f>
        <v>1.1</v>
      </c>
      <c r="K32" s="114">
        <f>'Data input'!K16</f>
        <v>0.77</v>
      </c>
      <c r="L32" s="114" t="str">
        <f>'Data input'!L16</f>
        <v>kg/day</v>
      </c>
      <c r="N32" s="114"/>
      <c r="O32" s="349">
        <f>IF('Data input'!P8&gt;7,7,'Data input'!P8)</f>
        <v>6</v>
      </c>
      <c r="P32" s="110">
        <f>INDEX(P25:P31,$O$32)</f>
        <v>770</v>
      </c>
      <c r="Q32" s="110">
        <f aca="true" t="shared" si="4" ref="Q32:V32">INDEX(Q25:Q31,$O$32)</f>
        <v>770</v>
      </c>
      <c r="R32" s="110">
        <f t="shared" si="4"/>
        <v>660</v>
      </c>
      <c r="S32" s="110">
        <f t="shared" si="4"/>
        <v>550</v>
      </c>
      <c r="T32" s="110">
        <f t="shared" si="4"/>
        <v>550</v>
      </c>
      <c r="U32" s="110">
        <f t="shared" si="4"/>
        <v>550</v>
      </c>
      <c r="V32" s="120">
        <f t="shared" si="4"/>
        <v>660</v>
      </c>
      <c r="W32" s="115"/>
      <c r="X32" s="115"/>
      <c r="Y32" s="126"/>
      <c r="AC32" s="3"/>
      <c r="AD32" s="3"/>
      <c r="AE32" s="3"/>
      <c r="AF32" s="3"/>
      <c r="AG32" s="3"/>
      <c r="AH32" s="3"/>
      <c r="AI32" s="3"/>
      <c r="AJ32" s="3"/>
      <c r="AK32" s="3"/>
      <c r="AL32" s="3"/>
    </row>
    <row r="33" spans="2:25" ht="15.75">
      <c r="B33" s="114"/>
      <c r="C33" s="114" t="s">
        <v>33</v>
      </c>
      <c r="D33" s="114">
        <f>'Data input'!D17</f>
        <v>0.33</v>
      </c>
      <c r="E33" s="114">
        <f>'Data input'!E17</f>
        <v>0.33</v>
      </c>
      <c r="F33" s="114">
        <f>'Data input'!F17</f>
        <v>0.33</v>
      </c>
      <c r="G33" s="114">
        <f>'Data input'!G17</f>
        <v>0.33</v>
      </c>
      <c r="H33" s="114">
        <f>'Data input'!H17</f>
        <v>-0.1</v>
      </c>
      <c r="I33" s="114">
        <f>'Data input'!I17</f>
        <v>0.22</v>
      </c>
      <c r="J33" s="114">
        <f>'Data input'!J17</f>
        <v>0.22</v>
      </c>
      <c r="K33" s="114">
        <f>'Data input'!K17</f>
        <v>0.11</v>
      </c>
      <c r="L33" s="114" t="str">
        <f>'Data input'!L17</f>
        <v>kg/day</v>
      </c>
      <c r="N33" s="114"/>
      <c r="O33" s="114"/>
      <c r="P33" s="114"/>
      <c r="Q33" s="114"/>
      <c r="R33" s="114"/>
      <c r="S33" s="114"/>
      <c r="T33" s="114"/>
      <c r="U33" s="114"/>
      <c r="V33" s="114"/>
      <c r="W33" s="115"/>
      <c r="X33" s="115"/>
      <c r="Y33" s="126"/>
    </row>
    <row r="34" spans="2:25" ht="15.75">
      <c r="B34" s="114"/>
      <c r="C34" s="114" t="s">
        <v>34</v>
      </c>
      <c r="D34" s="114">
        <f>'Data input'!D18</f>
        <v>0.2</v>
      </c>
      <c r="E34" s="114">
        <f>'Data input'!E18</f>
        <v>0.5</v>
      </c>
      <c r="F34" s="114">
        <f>'Data input'!F18</f>
        <v>0.55</v>
      </c>
      <c r="G34" s="114">
        <f>'Data input'!G18</f>
        <v>0.44</v>
      </c>
      <c r="H34" s="114">
        <f>'Data input'!H18</f>
        <v>0.2</v>
      </c>
      <c r="I34" s="114">
        <f>'Data input'!I18</f>
        <v>0.55</v>
      </c>
      <c r="J34" s="114">
        <f>'Data input'!J18</f>
        <v>0.55</v>
      </c>
      <c r="K34" s="114">
        <f>'Data input'!K18</f>
        <v>0.2</v>
      </c>
      <c r="L34" s="114" t="str">
        <f>'Data input'!L18</f>
        <v>kg/day</v>
      </c>
      <c r="N34" s="113" t="s">
        <v>213</v>
      </c>
      <c r="O34" s="114"/>
      <c r="P34" s="113" t="s">
        <v>215</v>
      </c>
      <c r="Q34" s="114"/>
      <c r="R34" s="114"/>
      <c r="S34" s="114"/>
      <c r="T34" s="114"/>
      <c r="U34" s="114"/>
      <c r="V34" s="114"/>
      <c r="W34" s="115"/>
      <c r="X34" s="114"/>
      <c r="Y34" s="126" t="s">
        <v>214</v>
      </c>
    </row>
    <row r="35" spans="2:25" ht="15.75">
      <c r="B35" s="114"/>
      <c r="C35" s="114" t="s">
        <v>35</v>
      </c>
      <c r="D35" s="114">
        <f>'Data input'!D19</f>
        <v>0.22</v>
      </c>
      <c r="E35" s="114">
        <f>'Data input'!E19</f>
        <v>0.55</v>
      </c>
      <c r="F35" s="114">
        <f>'Data input'!F19</f>
        <v>0.49</v>
      </c>
      <c r="G35" s="114">
        <f>'Data input'!G19</f>
        <v>0.22</v>
      </c>
      <c r="H35" s="114">
        <f>'Data input'!H19</f>
        <v>0.22</v>
      </c>
      <c r="I35" s="114">
        <f>'Data input'!I19</f>
        <v>0.49</v>
      </c>
      <c r="J35" s="114">
        <f>'Data input'!J19</f>
        <v>0.49</v>
      </c>
      <c r="K35" s="114">
        <f>'Data input'!K19</f>
        <v>0.33</v>
      </c>
      <c r="L35" s="114" t="str">
        <f>'Data input'!L19</f>
        <v>kg/day</v>
      </c>
      <c r="N35" s="114"/>
      <c r="O35" s="114" t="s">
        <v>32</v>
      </c>
      <c r="P35" s="122">
        <f>(P6/6.25)-P18-P12-((1.1*10^-4*(D27^0.75))/6.25)</f>
        <v>0.41278028421282237</v>
      </c>
      <c r="Q35" s="122">
        <f aca="true" t="shared" si="5" ref="Q35:W35">(Q6/6.25)-Q18-Q12-((1.1*10^-4*(E27^0.75))/6.25)</f>
        <v>0.1909537597937396</v>
      </c>
      <c r="R35" s="122">
        <f t="shared" si="5"/>
        <v>0.2049014138514125</v>
      </c>
      <c r="S35" s="122">
        <f t="shared" si="5"/>
        <v>0.2823396527074167</v>
      </c>
      <c r="T35" s="122">
        <f t="shared" si="5"/>
        <v>0.4232720396039579</v>
      </c>
      <c r="U35" s="122">
        <f t="shared" si="5"/>
        <v>0.1718205155127878</v>
      </c>
      <c r="V35" s="122">
        <f t="shared" si="5"/>
        <v>0.1866742138514125</v>
      </c>
      <c r="W35" s="122">
        <f t="shared" si="5"/>
        <v>0.31546421108092587</v>
      </c>
      <c r="X35" s="115" t="s">
        <v>91</v>
      </c>
      <c r="Y35" s="126"/>
    </row>
    <row r="36" spans="2:25" ht="15.75">
      <c r="B36" s="114"/>
      <c r="C36" s="114"/>
      <c r="D36" s="114"/>
      <c r="E36" s="114"/>
      <c r="F36" s="114"/>
      <c r="G36" s="114"/>
      <c r="H36" s="114"/>
      <c r="I36" s="114"/>
      <c r="J36" s="114"/>
      <c r="K36" s="325"/>
      <c r="L36" s="114"/>
      <c r="N36" s="114"/>
      <c r="O36" s="114" t="s">
        <v>33</v>
      </c>
      <c r="P36" s="122">
        <f>(P7/6.25)-P19-P13-((1.1*10^-4*(D28^0.75))/6.25)</f>
        <v>0.06359741758299679</v>
      </c>
      <c r="Q36" s="122">
        <f aca="true" t="shared" si="6" ref="Q36:W38">(Q7/6.25)-Q19-Q13-((1.1*10^-4*(E28^0.75))/6.25)</f>
        <v>0.027675940110505948</v>
      </c>
      <c r="R36" s="122">
        <f t="shared" si="6"/>
        <v>0.04393289789542844</v>
      </c>
      <c r="S36" s="122">
        <f t="shared" si="6"/>
        <v>0.04492021753254135</v>
      </c>
      <c r="T36" s="122">
        <f t="shared" si="6"/>
        <v>0.04431750394120313</v>
      </c>
      <c r="U36" s="122">
        <f t="shared" si="6"/>
        <v>0.014999057141753763</v>
      </c>
      <c r="V36" s="122">
        <f t="shared" si="6"/>
        <v>0.007403952055041084</v>
      </c>
      <c r="W36" s="122">
        <f t="shared" si="6"/>
        <v>0.05089992815244098</v>
      </c>
      <c r="X36" s="115" t="s">
        <v>91</v>
      </c>
      <c r="Y36" s="126"/>
    </row>
    <row r="37" spans="2:25" ht="15.75">
      <c r="B37" s="113" t="s">
        <v>211</v>
      </c>
      <c r="C37" s="114" t="s">
        <v>32</v>
      </c>
      <c r="D37" s="117">
        <f>D27/P$32</f>
        <v>1.0649350649350648</v>
      </c>
      <c r="E37" s="117">
        <f aca="true" t="shared" si="7" ref="E37:J37">E27/Q$32</f>
        <v>0.3246753246753247</v>
      </c>
      <c r="F37" s="117">
        <f t="shared" si="7"/>
        <v>0.36363636363636365</v>
      </c>
      <c r="G37" s="117">
        <f t="shared" si="7"/>
        <v>0.7454545454545455</v>
      </c>
      <c r="H37" s="117">
        <f t="shared" si="7"/>
        <v>1.018181818181818</v>
      </c>
      <c r="I37" s="117">
        <f t="shared" si="7"/>
        <v>0.43636363636363634</v>
      </c>
      <c r="J37" s="117">
        <f t="shared" si="7"/>
        <v>0.36363636363636365</v>
      </c>
      <c r="K37" s="117">
        <f>K27/V$32</f>
        <v>0.7727272727272727</v>
      </c>
      <c r="L37" s="114"/>
      <c r="N37" s="114"/>
      <c r="O37" s="114" t="s">
        <v>34</v>
      </c>
      <c r="P37" s="122">
        <f>(P8/6.25)-P20-P14-((1.1*10^-4*(D29^0.75))/6.25)</f>
        <v>0.10431633236621833</v>
      </c>
      <c r="Q37" s="122">
        <f t="shared" si="6"/>
        <v>0.0195500817898187</v>
      </c>
      <c r="R37" s="122">
        <f t="shared" si="6"/>
        <v>0.03512373065917325</v>
      </c>
      <c r="S37" s="122">
        <f t="shared" si="6"/>
        <v>0.05721903658999166</v>
      </c>
      <c r="T37" s="122">
        <f t="shared" si="6"/>
        <v>0.07970146977166584</v>
      </c>
      <c r="U37" s="122">
        <f t="shared" si="6"/>
        <v>0.01843992980909684</v>
      </c>
      <c r="V37" s="122">
        <f t="shared" si="6"/>
        <v>0.018125330659173246</v>
      </c>
      <c r="W37" s="122">
        <f t="shared" si="6"/>
        <v>0.07373488905112362</v>
      </c>
      <c r="X37" s="115" t="s">
        <v>91</v>
      </c>
      <c r="Y37" s="126"/>
    </row>
    <row r="38" spans="2:25" ht="15.75">
      <c r="B38" s="114"/>
      <c r="C38" s="114" t="s">
        <v>33</v>
      </c>
      <c r="D38" s="117">
        <f>D28/P$32</f>
        <v>1.103896103896104</v>
      </c>
      <c r="E38" s="117">
        <f aca="true" t="shared" si="8" ref="E38:J40">E28/Q$32</f>
        <v>0.36363636363636365</v>
      </c>
      <c r="F38" s="117">
        <f t="shared" si="8"/>
        <v>0.4090909090909091</v>
      </c>
      <c r="G38" s="117">
        <f t="shared" si="8"/>
        <v>0.8</v>
      </c>
      <c r="H38" s="117">
        <f t="shared" si="8"/>
        <v>1</v>
      </c>
      <c r="I38" s="117">
        <f t="shared" si="8"/>
        <v>0.4727272727272727</v>
      </c>
      <c r="J38" s="117">
        <f t="shared" si="8"/>
        <v>0.07575757575757576</v>
      </c>
      <c r="K38" s="117">
        <f>K28/V$32</f>
        <v>0.7878787878787878</v>
      </c>
      <c r="L38" s="114"/>
      <c r="N38" s="114"/>
      <c r="O38" s="114" t="s">
        <v>35</v>
      </c>
      <c r="P38" s="122">
        <f>(P9/6.25)-P21-P15-((1.1*10^-4*(D30^0.75))/6.25)</f>
        <v>0.2799394120851625</v>
      </c>
      <c r="Q38" s="122">
        <f t="shared" si="6"/>
        <v>0.09510857270129693</v>
      </c>
      <c r="R38" s="122">
        <f t="shared" si="6"/>
        <v>0.10869098143631718</v>
      </c>
      <c r="S38" s="122">
        <f t="shared" si="6"/>
        <v>0.16348961697898726</v>
      </c>
      <c r="T38" s="122">
        <f t="shared" si="6"/>
        <v>0.2193221820661706</v>
      </c>
      <c r="U38" s="122">
        <f t="shared" si="6"/>
        <v>0.09123827272800984</v>
      </c>
      <c r="V38" s="122">
        <f t="shared" si="6"/>
        <v>0.09070954143631717</v>
      </c>
      <c r="W38" s="122">
        <f t="shared" si="6"/>
        <v>0.21249812086686068</v>
      </c>
      <c r="X38" s="115" t="s">
        <v>91</v>
      </c>
      <c r="Y38" s="126"/>
    </row>
    <row r="39" spans="2:25" ht="15.75">
      <c r="B39" s="114"/>
      <c r="C39" s="114" t="s">
        <v>34</v>
      </c>
      <c r="D39" s="117">
        <f>D29/P$32</f>
        <v>0.9090909090909091</v>
      </c>
      <c r="E39" s="117">
        <f t="shared" si="8"/>
        <v>0.12987012987012986</v>
      </c>
      <c r="F39" s="117">
        <f t="shared" si="8"/>
        <v>0.14393939393939395</v>
      </c>
      <c r="G39" s="117">
        <f t="shared" si="8"/>
        <v>0.5454545454545454</v>
      </c>
      <c r="H39" s="117">
        <f t="shared" si="8"/>
        <v>0.8181818181818182</v>
      </c>
      <c r="I39" s="117">
        <f t="shared" si="8"/>
        <v>0.17272727272727273</v>
      </c>
      <c r="J39" s="117">
        <f t="shared" si="8"/>
        <v>0.14393939393939395</v>
      </c>
      <c r="K39" s="117">
        <f>K29/V$32</f>
        <v>0.6212121212121212</v>
      </c>
      <c r="L39" s="114"/>
      <c r="N39" s="114"/>
      <c r="O39" s="114"/>
      <c r="P39" s="114"/>
      <c r="Q39" s="114"/>
      <c r="R39" s="114"/>
      <c r="S39" s="114"/>
      <c r="T39" s="114"/>
      <c r="U39" s="114"/>
      <c r="V39" s="114"/>
      <c r="W39" s="115"/>
      <c r="X39" s="115"/>
      <c r="Y39" s="126"/>
    </row>
    <row r="40" spans="2:25" ht="15.75">
      <c r="B40" s="114"/>
      <c r="C40" s="114" t="s">
        <v>35</v>
      </c>
      <c r="D40" s="117">
        <f>D30/P$32</f>
        <v>0.935064935064935</v>
      </c>
      <c r="E40" s="117">
        <f t="shared" si="8"/>
        <v>0.19480519480519481</v>
      </c>
      <c r="F40" s="117">
        <f t="shared" si="8"/>
        <v>0.21212121212121213</v>
      </c>
      <c r="G40" s="117">
        <f t="shared" si="8"/>
        <v>0.5818181818181818</v>
      </c>
      <c r="H40" s="117">
        <f t="shared" si="8"/>
        <v>0.8545454545454545</v>
      </c>
      <c r="I40" s="117">
        <f t="shared" si="8"/>
        <v>0.2545454545454545</v>
      </c>
      <c r="J40" s="117">
        <f t="shared" si="8"/>
        <v>0.21212121212121213</v>
      </c>
      <c r="K40" s="117">
        <f>K30/V$32</f>
        <v>0.6666666666666666</v>
      </c>
      <c r="L40" s="114"/>
      <c r="N40" s="113" t="s">
        <v>216</v>
      </c>
      <c r="O40" s="114"/>
      <c r="P40" s="113" t="s">
        <v>441</v>
      </c>
      <c r="Q40" s="114"/>
      <c r="R40" s="114"/>
      <c r="S40" s="114"/>
      <c r="T40" s="114"/>
      <c r="U40" s="114"/>
      <c r="V40" s="114"/>
      <c r="W40" s="115"/>
      <c r="X40" s="115"/>
      <c r="Y40" s="126" t="s">
        <v>229</v>
      </c>
    </row>
    <row r="41" spans="2:25" ht="15.75">
      <c r="B41" s="114"/>
      <c r="C41" s="114"/>
      <c r="D41" s="114"/>
      <c r="E41" s="114"/>
      <c r="F41" s="114"/>
      <c r="G41" s="114"/>
      <c r="H41" s="114"/>
      <c r="I41" s="114"/>
      <c r="J41" s="114"/>
      <c r="K41" s="325"/>
      <c r="L41" s="114"/>
      <c r="N41" s="114"/>
      <c r="O41" s="114" t="s">
        <v>32</v>
      </c>
      <c r="P41" s="150">
        <f>(91.25*D42*P12)*10^-6</f>
        <v>0.00011704235134272676</v>
      </c>
      <c r="Q41" s="150">
        <f aca="true" t="shared" si="9" ref="Q41:W41">(91.25*E42*Q12)*10^-6</f>
        <v>0.00011939963379128322</v>
      </c>
      <c r="R41" s="150">
        <f t="shared" si="9"/>
        <v>0.0003113199407986306</v>
      </c>
      <c r="S41" s="150">
        <f t="shared" si="9"/>
        <v>0.00020312527638183348</v>
      </c>
      <c r="T41" s="150">
        <f t="shared" si="9"/>
        <v>0.0012419625664842433</v>
      </c>
      <c r="U41" s="150">
        <f t="shared" si="9"/>
        <v>0.0002907631407986306</v>
      </c>
      <c r="V41" s="150">
        <f t="shared" si="9"/>
        <v>0.0002907631407986306</v>
      </c>
      <c r="W41" s="150">
        <f t="shared" si="9"/>
        <v>0.00026863670925793455</v>
      </c>
      <c r="X41" s="115" t="s">
        <v>220</v>
      </c>
      <c r="Y41" s="126"/>
    </row>
    <row r="42" spans="2:25" ht="15.75">
      <c r="B42" s="113" t="s">
        <v>429</v>
      </c>
      <c r="C42" s="114" t="s">
        <v>32</v>
      </c>
      <c r="D42" s="114">
        <f>'Data input'!D4</f>
        <v>20</v>
      </c>
      <c r="E42" s="114">
        <f>'Data input'!E4</f>
        <v>40</v>
      </c>
      <c r="F42" s="114">
        <f>'Data input'!F4</f>
        <v>100</v>
      </c>
      <c r="G42" s="114">
        <f>'Data input'!G4</f>
        <v>50</v>
      </c>
      <c r="H42" s="114">
        <f>'Data input'!H4</f>
        <v>200</v>
      </c>
      <c r="I42" s="114">
        <f>'Data input'!I4</f>
        <v>100</v>
      </c>
      <c r="J42" s="114">
        <f>'Data input'!J4</f>
        <v>100</v>
      </c>
      <c r="K42" s="114">
        <f>'Data input'!K4</f>
        <v>60</v>
      </c>
      <c r="L42" s="114" t="str">
        <f>'Data input'!L4</f>
        <v>head</v>
      </c>
      <c r="N42" s="114"/>
      <c r="O42" s="114" t="s">
        <v>33</v>
      </c>
      <c r="P42" s="150">
        <f>(91.25*D43*P13)*10^-6</f>
        <v>9.079606249042115E-05</v>
      </c>
      <c r="Q42" s="150">
        <f aca="true" t="shared" si="10" ref="Q42:W44">(91.25*E43*Q13)*10^-6</f>
        <v>9.432188325235946E-05</v>
      </c>
      <c r="R42" s="150">
        <f t="shared" si="10"/>
        <v>0.0002641940006371361</v>
      </c>
      <c r="S42" s="150">
        <f t="shared" si="10"/>
        <v>0.00016449145203388649</v>
      </c>
      <c r="T42" s="150">
        <f t="shared" si="10"/>
        <v>0.0007559505380045518</v>
      </c>
      <c r="U42" s="150">
        <f t="shared" si="10"/>
        <v>0.000216719011327692</v>
      </c>
      <c r="V42" s="150">
        <f t="shared" si="10"/>
        <v>9.237487786716094E-05</v>
      </c>
      <c r="W42" s="150">
        <f t="shared" si="10"/>
        <v>0.00021098052413812826</v>
      </c>
      <c r="X42" s="115" t="s">
        <v>220</v>
      </c>
      <c r="Y42" s="126"/>
    </row>
    <row r="43" spans="2:25" ht="15.75">
      <c r="B43" s="114"/>
      <c r="C43" s="114" t="s">
        <v>33</v>
      </c>
      <c r="D43" s="114">
        <f>'Data input'!D5</f>
        <v>20</v>
      </c>
      <c r="E43" s="114">
        <f>'Data input'!E5</f>
        <v>40</v>
      </c>
      <c r="F43" s="114">
        <f>'Data input'!F5</f>
        <v>100</v>
      </c>
      <c r="G43" s="114">
        <f>'Data input'!G5</f>
        <v>50</v>
      </c>
      <c r="H43" s="114">
        <f>'Data input'!H5</f>
        <v>200</v>
      </c>
      <c r="I43" s="114">
        <f>'Data input'!I5</f>
        <v>100</v>
      </c>
      <c r="J43" s="114">
        <f>'Data input'!J5</f>
        <v>100</v>
      </c>
      <c r="K43" s="114">
        <f>'Data input'!K5</f>
        <v>60</v>
      </c>
      <c r="L43" s="114" t="str">
        <f>'Data input'!L5</f>
        <v>head</v>
      </c>
      <c r="N43" s="114"/>
      <c r="O43" s="114" t="s">
        <v>34</v>
      </c>
      <c r="P43" s="150">
        <f>(91.25*D44*P14)*10^-6</f>
        <v>9.113092729401342E-05</v>
      </c>
      <c r="Q43" s="150">
        <f t="shared" si="10"/>
        <v>5.750627404473207E-05</v>
      </c>
      <c r="R43" s="150">
        <f t="shared" si="10"/>
        <v>0.00017481917767386295</v>
      </c>
      <c r="S43" s="150">
        <f t="shared" si="10"/>
        <v>0.00013782646131521985</v>
      </c>
      <c r="T43" s="150">
        <f t="shared" si="10"/>
        <v>0.0007010137884718045</v>
      </c>
      <c r="U43" s="150">
        <f t="shared" si="10"/>
        <v>0.00014304957767386295</v>
      </c>
      <c r="V43" s="150">
        <f t="shared" si="10"/>
        <v>7.152478883693147E-05</v>
      </c>
      <c r="W43" s="150">
        <f t="shared" si="10"/>
        <v>0.00019651606129072023</v>
      </c>
      <c r="X43" s="115" t="s">
        <v>220</v>
      </c>
      <c r="Y43" s="126"/>
    </row>
    <row r="44" spans="2:25" ht="15.75">
      <c r="B44" s="114"/>
      <c r="C44" s="114" t="s">
        <v>34</v>
      </c>
      <c r="D44" s="114">
        <f>'Data input'!D6</f>
        <v>20</v>
      </c>
      <c r="E44" s="114">
        <f>'Data input'!E6</f>
        <v>40</v>
      </c>
      <c r="F44" s="114">
        <f>'Data input'!F6</f>
        <v>100</v>
      </c>
      <c r="G44" s="114">
        <f>'Data input'!G6</f>
        <v>50</v>
      </c>
      <c r="H44" s="114">
        <f>'Data input'!H6</f>
        <v>200</v>
      </c>
      <c r="I44" s="114">
        <f>'Data input'!I6</f>
        <v>100</v>
      </c>
      <c r="J44" s="114">
        <f>'Data input'!J6</f>
        <v>50</v>
      </c>
      <c r="K44" s="114">
        <f>'Data input'!K6</f>
        <v>60</v>
      </c>
      <c r="L44" s="114" t="str">
        <f>'Data input'!L6</f>
        <v>head</v>
      </c>
      <c r="N44" s="114"/>
      <c r="O44" s="114" t="s">
        <v>35</v>
      </c>
      <c r="P44" s="150">
        <f>(91.25*D45*P15)*10^-6</f>
        <v>9.8297613821816E-05</v>
      </c>
      <c r="Q44" s="150">
        <f t="shared" si="10"/>
        <v>7.650216317163567E-05</v>
      </c>
      <c r="R44" s="150">
        <f t="shared" si="10"/>
        <v>0.00020325066027228732</v>
      </c>
      <c r="S44" s="150">
        <f t="shared" si="10"/>
        <v>0.0001452145522126068</v>
      </c>
      <c r="T44" s="150">
        <f t="shared" si="10"/>
        <v>0.0007718954723218895</v>
      </c>
      <c r="U44" s="150">
        <f t="shared" si="10"/>
        <v>0.00018045130027228732</v>
      </c>
      <c r="V44" s="150">
        <f t="shared" si="10"/>
        <v>9.022565013614366E-05</v>
      </c>
      <c r="W44" s="150">
        <f t="shared" si="10"/>
        <v>0.00022656423598384331</v>
      </c>
      <c r="X44" s="115" t="s">
        <v>220</v>
      </c>
      <c r="Y44" s="126"/>
    </row>
    <row r="45" spans="2:25" ht="15.75">
      <c r="B45" s="114"/>
      <c r="C45" s="114" t="s">
        <v>35</v>
      </c>
      <c r="D45" s="114">
        <f>'Data input'!D7</f>
        <v>20</v>
      </c>
      <c r="E45" s="114">
        <f>'Data input'!E7</f>
        <v>40</v>
      </c>
      <c r="F45" s="114">
        <f>'Data input'!F7</f>
        <v>100</v>
      </c>
      <c r="G45" s="114">
        <f>'Data input'!G7</f>
        <v>50</v>
      </c>
      <c r="H45" s="114">
        <f>'Data input'!H7</f>
        <v>200</v>
      </c>
      <c r="I45" s="114">
        <f>'Data input'!I7</f>
        <v>100</v>
      </c>
      <c r="J45" s="114">
        <f>'Data input'!J7</f>
        <v>50</v>
      </c>
      <c r="K45" s="114">
        <f>'Data input'!K7</f>
        <v>60</v>
      </c>
      <c r="L45" s="114" t="str">
        <f>'Data input'!L7</f>
        <v>head</v>
      </c>
      <c r="N45" s="114"/>
      <c r="O45" s="114"/>
      <c r="P45" s="114"/>
      <c r="Q45" s="114"/>
      <c r="R45" s="114"/>
      <c r="S45" s="114"/>
      <c r="T45" s="114"/>
      <c r="U45" s="114"/>
      <c r="V45" s="114"/>
      <c r="W45" s="115"/>
      <c r="X45" s="115"/>
      <c r="Y45" s="126"/>
    </row>
    <row r="46" spans="2:25" ht="15.75">
      <c r="B46" s="114"/>
      <c r="C46" s="114"/>
      <c r="D46" s="114"/>
      <c r="E46" s="114"/>
      <c r="F46" s="114"/>
      <c r="G46" s="114"/>
      <c r="H46" s="114"/>
      <c r="I46" s="114"/>
      <c r="J46" s="114"/>
      <c r="K46" s="325"/>
      <c r="L46" s="114"/>
      <c r="N46" s="113" t="s">
        <v>217</v>
      </c>
      <c r="O46" s="114"/>
      <c r="P46" s="113" t="s">
        <v>442</v>
      </c>
      <c r="Q46" s="114"/>
      <c r="R46" s="114"/>
      <c r="S46" s="114"/>
      <c r="T46" s="114"/>
      <c r="U46" s="114"/>
      <c r="V46" s="114"/>
      <c r="W46" s="115"/>
      <c r="X46" s="115"/>
      <c r="Y46" s="126" t="s">
        <v>230</v>
      </c>
    </row>
    <row r="47" spans="2:25" ht="15.75">
      <c r="B47" s="108" t="s">
        <v>226</v>
      </c>
      <c r="C47" s="109"/>
      <c r="D47" s="109"/>
      <c r="E47" s="118">
        <f>44/28</f>
        <v>1.5714285714285714</v>
      </c>
      <c r="F47" s="109"/>
      <c r="G47" s="109"/>
      <c r="H47" s="109"/>
      <c r="I47" s="109"/>
      <c r="J47" s="109"/>
      <c r="K47" s="325"/>
      <c r="L47" s="109"/>
      <c r="N47" s="114"/>
      <c r="O47" s="114" t="s">
        <v>32</v>
      </c>
      <c r="P47" s="124">
        <f>(91.25*D42*P35)*10^-6</f>
        <v>0.0007533240186884007</v>
      </c>
      <c r="Q47" s="124">
        <f aca="true" t="shared" si="11" ref="Q47:W47">(91.25*E42*Q35)*10^-6</f>
        <v>0.0006969812232471494</v>
      </c>
      <c r="R47" s="124">
        <f t="shared" si="11"/>
        <v>0.0018697254013941389</v>
      </c>
      <c r="S47" s="124">
        <f t="shared" si="11"/>
        <v>0.0012881746654775886</v>
      </c>
      <c r="T47" s="124">
        <f t="shared" si="11"/>
        <v>0.007724714722772231</v>
      </c>
      <c r="U47" s="124">
        <f t="shared" si="11"/>
        <v>0.0015678622040541886</v>
      </c>
      <c r="V47" s="124">
        <f t="shared" si="11"/>
        <v>0.0017034022013941391</v>
      </c>
      <c r="W47" s="124">
        <f t="shared" si="11"/>
        <v>0.001727166555668069</v>
      </c>
      <c r="X47" s="115" t="s">
        <v>220</v>
      </c>
      <c r="Y47" s="126"/>
    </row>
    <row r="48" spans="14:25" ht="15.75">
      <c r="N48" s="114"/>
      <c r="O48" s="114" t="s">
        <v>33</v>
      </c>
      <c r="P48" s="124">
        <f>(91.25*D43*P36)*10^-6</f>
        <v>0.00011606528708896914</v>
      </c>
      <c r="Q48" s="124">
        <f aca="true" t="shared" si="12" ref="Q48:W50">(91.25*E43*Q36)*10^-6</f>
        <v>0.0001010171814033467</v>
      </c>
      <c r="R48" s="124">
        <f t="shared" si="12"/>
        <v>0.0004008876932957845</v>
      </c>
      <c r="S48" s="124">
        <f t="shared" si="12"/>
        <v>0.0002049484924922199</v>
      </c>
      <c r="T48" s="124">
        <f t="shared" si="12"/>
        <v>0.0008087944469269571</v>
      </c>
      <c r="U48" s="124">
        <f t="shared" si="12"/>
        <v>0.00013686639641850309</v>
      </c>
      <c r="V48" s="124">
        <f t="shared" si="12"/>
        <v>6.756106250224989E-05</v>
      </c>
      <c r="W48" s="124">
        <f t="shared" si="12"/>
        <v>0.00027867710663461435</v>
      </c>
      <c r="X48" s="115" t="s">
        <v>220</v>
      </c>
      <c r="Y48" s="126"/>
    </row>
    <row r="49" spans="14:25" ht="15.75">
      <c r="N49" s="114"/>
      <c r="O49" s="114" t="s">
        <v>34</v>
      </c>
      <c r="P49" s="124">
        <f>(91.25*D44*P37)*10^-6</f>
        <v>0.00019037730656834844</v>
      </c>
      <c r="Q49" s="124">
        <f t="shared" si="12"/>
        <v>7.135779853283826E-05</v>
      </c>
      <c r="R49" s="124">
        <f t="shared" si="12"/>
        <v>0.0003205040422649559</v>
      </c>
      <c r="S49" s="124">
        <f t="shared" si="12"/>
        <v>0.00026106185444183693</v>
      </c>
      <c r="T49" s="124">
        <f t="shared" si="12"/>
        <v>0.0014545518233329015</v>
      </c>
      <c r="U49" s="124">
        <f t="shared" si="12"/>
        <v>0.00016826435950800865</v>
      </c>
      <c r="V49" s="124">
        <f t="shared" si="12"/>
        <v>8.269682113247793E-05</v>
      </c>
      <c r="W49" s="124">
        <f t="shared" si="12"/>
        <v>0.0004036985175549018</v>
      </c>
      <c r="X49" s="115" t="s">
        <v>220</v>
      </c>
      <c r="Y49" s="126"/>
    </row>
    <row r="50" spans="14:25" ht="15.75">
      <c r="N50" s="114"/>
      <c r="O50" s="114" t="s">
        <v>35</v>
      </c>
      <c r="P50" s="124">
        <f>(91.25*D45*P38)*10^-6</f>
        <v>0.0005108894270554216</v>
      </c>
      <c r="Q50" s="124">
        <f t="shared" si="12"/>
        <v>0.00034714629035973376</v>
      </c>
      <c r="R50" s="124">
        <f t="shared" si="12"/>
        <v>0.0009918052056063942</v>
      </c>
      <c r="S50" s="124">
        <f t="shared" si="12"/>
        <v>0.0007459213774666293</v>
      </c>
      <c r="T50" s="124">
        <f t="shared" si="12"/>
        <v>0.004002629822707614</v>
      </c>
      <c r="U50" s="124">
        <f t="shared" si="12"/>
        <v>0.0008325492386430897</v>
      </c>
      <c r="V50" s="124">
        <f t="shared" si="12"/>
        <v>0.00041386228280319707</v>
      </c>
      <c r="W50" s="124">
        <f t="shared" si="12"/>
        <v>0.0011634272117460622</v>
      </c>
      <c r="X50" s="115" t="s">
        <v>220</v>
      </c>
      <c r="Y50" s="126"/>
    </row>
    <row r="51" spans="14:25" ht="15.75">
      <c r="N51" s="114"/>
      <c r="O51" s="114"/>
      <c r="P51" s="114"/>
      <c r="Q51" s="114"/>
      <c r="R51" s="114"/>
      <c r="S51" s="114"/>
      <c r="T51" s="114"/>
      <c r="U51" s="114"/>
      <c r="V51" s="114"/>
      <c r="W51" s="115"/>
      <c r="X51" s="115"/>
      <c r="Y51" s="328"/>
    </row>
    <row r="52" spans="14:25" ht="15.75">
      <c r="N52" s="113" t="s">
        <v>218</v>
      </c>
      <c r="O52" s="114"/>
      <c r="P52" s="113" t="s">
        <v>219</v>
      </c>
      <c r="Q52" s="114"/>
      <c r="R52" s="114"/>
      <c r="S52" s="114"/>
      <c r="T52" s="114"/>
      <c r="U52" s="114"/>
      <c r="V52" s="114"/>
      <c r="W52" s="115"/>
      <c r="X52" s="115"/>
      <c r="Y52" s="329"/>
    </row>
    <row r="53" spans="14:25" ht="15.75">
      <c r="N53" s="114"/>
      <c r="O53" s="114" t="s">
        <v>32</v>
      </c>
      <c r="P53" s="124">
        <f>P41+P47</f>
        <v>0.0008703663700311275</v>
      </c>
      <c r="Q53" s="124">
        <f aca="true" t="shared" si="13" ref="Q53:W53">Q41+Q47</f>
        <v>0.0008163808570384326</v>
      </c>
      <c r="R53" s="124">
        <f t="shared" si="13"/>
        <v>0.0021810453421927693</v>
      </c>
      <c r="S53" s="124">
        <f t="shared" si="13"/>
        <v>0.001491299941859422</v>
      </c>
      <c r="T53" s="124">
        <f t="shared" si="13"/>
        <v>0.008966677289256474</v>
      </c>
      <c r="U53" s="124">
        <f t="shared" si="13"/>
        <v>0.0018586253448528193</v>
      </c>
      <c r="V53" s="124">
        <f t="shared" si="13"/>
        <v>0.0019941653421927698</v>
      </c>
      <c r="W53" s="124">
        <f t="shared" si="13"/>
        <v>0.001995803264926004</v>
      </c>
      <c r="X53" s="115" t="s">
        <v>220</v>
      </c>
      <c r="Y53" s="126"/>
    </row>
    <row r="54" spans="14:25" ht="15.75">
      <c r="N54" s="114"/>
      <c r="O54" s="114" t="s">
        <v>33</v>
      </c>
      <c r="P54" s="124">
        <f aca="true" t="shared" si="14" ref="P54:W54">P42+P48</f>
        <v>0.0002068613495793903</v>
      </c>
      <c r="Q54" s="124">
        <f t="shared" si="14"/>
        <v>0.00019533906465570616</v>
      </c>
      <c r="R54" s="124">
        <f t="shared" si="14"/>
        <v>0.0006650816939329205</v>
      </c>
      <c r="S54" s="124">
        <f t="shared" si="14"/>
        <v>0.00036943994452610636</v>
      </c>
      <c r="T54" s="124">
        <f t="shared" si="14"/>
        <v>0.001564744984931509</v>
      </c>
      <c r="U54" s="124">
        <f t="shared" si="14"/>
        <v>0.0003535854077461951</v>
      </c>
      <c r="V54" s="124">
        <f t="shared" si="14"/>
        <v>0.00015993594036941083</v>
      </c>
      <c r="W54" s="124">
        <f t="shared" si="14"/>
        <v>0.0004896576307727426</v>
      </c>
      <c r="X54" s="115" t="s">
        <v>220</v>
      </c>
      <c r="Y54" s="126"/>
    </row>
    <row r="55" spans="14:25" ht="15.75">
      <c r="N55" s="114"/>
      <c r="O55" s="114" t="s">
        <v>34</v>
      </c>
      <c r="P55" s="124">
        <f aca="true" t="shared" si="15" ref="P55:W55">P43+P49</f>
        <v>0.00028150823386236185</v>
      </c>
      <c r="Q55" s="124">
        <f t="shared" si="15"/>
        <v>0.00012886407257757033</v>
      </c>
      <c r="R55" s="124">
        <f t="shared" si="15"/>
        <v>0.0004953232199388189</v>
      </c>
      <c r="S55" s="124">
        <f t="shared" si="15"/>
        <v>0.0003988883157570568</v>
      </c>
      <c r="T55" s="124">
        <f t="shared" si="15"/>
        <v>0.0021555656118047058</v>
      </c>
      <c r="U55" s="124">
        <f t="shared" si="15"/>
        <v>0.0003113139371818716</v>
      </c>
      <c r="V55" s="124">
        <f t="shared" si="15"/>
        <v>0.0001542216099694094</v>
      </c>
      <c r="W55" s="124">
        <f t="shared" si="15"/>
        <v>0.000600214578845622</v>
      </c>
      <c r="X55" s="115" t="s">
        <v>220</v>
      </c>
      <c r="Y55" s="126"/>
    </row>
    <row r="56" spans="14:25" ht="15.75">
      <c r="N56" s="114"/>
      <c r="O56" s="114" t="s">
        <v>35</v>
      </c>
      <c r="P56" s="124">
        <f aca="true" t="shared" si="16" ref="P56:W56">P44+P50</f>
        <v>0.0006091870408772375</v>
      </c>
      <c r="Q56" s="124">
        <f t="shared" si="16"/>
        <v>0.00042364845353136946</v>
      </c>
      <c r="R56" s="124">
        <f t="shared" si="16"/>
        <v>0.0011950558658786815</v>
      </c>
      <c r="S56" s="124">
        <f t="shared" si="16"/>
        <v>0.0008911359296792361</v>
      </c>
      <c r="T56" s="124">
        <f t="shared" si="16"/>
        <v>0.004774525295029503</v>
      </c>
      <c r="U56" s="124">
        <f t="shared" si="16"/>
        <v>0.001013000538915377</v>
      </c>
      <c r="V56" s="124">
        <f t="shared" si="16"/>
        <v>0.0005040879329393408</v>
      </c>
      <c r="W56" s="124">
        <f t="shared" si="16"/>
        <v>0.0013899914477299054</v>
      </c>
      <c r="X56" s="115" t="s">
        <v>220</v>
      </c>
      <c r="Y56" s="126"/>
    </row>
    <row r="57" spans="14:25" ht="15.75">
      <c r="N57" s="114"/>
      <c r="O57" s="114"/>
      <c r="P57" s="114"/>
      <c r="Q57" s="114"/>
      <c r="R57" s="114"/>
      <c r="S57" s="114"/>
      <c r="T57" s="114"/>
      <c r="U57" s="114"/>
      <c r="V57" s="114"/>
      <c r="W57" s="115"/>
      <c r="X57" s="115"/>
      <c r="Y57" s="126"/>
    </row>
    <row r="58" spans="14:25" ht="15.75">
      <c r="N58" s="113" t="s">
        <v>221</v>
      </c>
      <c r="O58" s="114"/>
      <c r="P58" s="114"/>
      <c r="Q58" s="114"/>
      <c r="R58" s="114"/>
      <c r="S58" s="114"/>
      <c r="T58" s="114"/>
      <c r="U58" s="114"/>
      <c r="V58" s="114"/>
      <c r="W58" s="115"/>
      <c r="X58" s="115"/>
      <c r="Y58" s="126"/>
    </row>
    <row r="59" spans="14:25" ht="15.75">
      <c r="N59" s="114" t="s">
        <v>232</v>
      </c>
      <c r="O59" s="114"/>
      <c r="P59" s="113" t="s">
        <v>222</v>
      </c>
      <c r="Q59" s="114"/>
      <c r="R59" s="114"/>
      <c r="S59" s="114"/>
      <c r="T59" s="114"/>
      <c r="U59" s="114"/>
      <c r="V59" s="114"/>
      <c r="W59" s="115"/>
      <c r="X59" s="115"/>
      <c r="Y59" s="126" t="s">
        <v>228</v>
      </c>
    </row>
    <row r="60" spans="14:25" ht="15.75">
      <c r="N60" s="114"/>
      <c r="O60" s="114"/>
      <c r="P60" s="114" t="s">
        <v>231</v>
      </c>
      <c r="Q60" s="114"/>
      <c r="R60" s="114"/>
      <c r="S60" s="114"/>
      <c r="T60" s="114"/>
      <c r="U60" s="114"/>
      <c r="V60" s="114"/>
      <c r="W60" s="115"/>
      <c r="X60" s="115"/>
      <c r="Y60" s="126"/>
    </row>
    <row r="61" spans="14:25" ht="15.75">
      <c r="N61" s="114"/>
      <c r="O61" s="114"/>
      <c r="P61" s="114" t="s">
        <v>225</v>
      </c>
      <c r="Q61" s="114"/>
      <c r="R61" s="114"/>
      <c r="S61" s="114"/>
      <c r="T61" s="114"/>
      <c r="U61" s="114"/>
      <c r="V61" s="114"/>
      <c r="W61" s="115"/>
      <c r="X61" s="115" t="s">
        <v>224</v>
      </c>
      <c r="Y61" s="126" t="s">
        <v>223</v>
      </c>
    </row>
    <row r="62" spans="14:25" ht="15.75">
      <c r="N62" s="114"/>
      <c r="O62" s="114" t="s">
        <v>32</v>
      </c>
      <c r="P62" s="114">
        <f>P53*100%*0*$E$47</f>
        <v>0</v>
      </c>
      <c r="Q62" s="114">
        <f aca="true" t="shared" si="17" ref="Q62:W62">Q53*100%*0*$E$47</f>
        <v>0</v>
      </c>
      <c r="R62" s="114">
        <f t="shared" si="17"/>
        <v>0</v>
      </c>
      <c r="S62" s="114">
        <f t="shared" si="17"/>
        <v>0</v>
      </c>
      <c r="T62" s="114">
        <f t="shared" si="17"/>
        <v>0</v>
      </c>
      <c r="U62" s="114">
        <f t="shared" si="17"/>
        <v>0</v>
      </c>
      <c r="V62" s="114">
        <f t="shared" si="17"/>
        <v>0</v>
      </c>
      <c r="W62" s="114">
        <f t="shared" si="17"/>
        <v>0</v>
      </c>
      <c r="X62" s="115" t="s">
        <v>227</v>
      </c>
      <c r="Y62" s="126"/>
    </row>
    <row r="63" spans="14:25" ht="15.75">
      <c r="N63" s="114"/>
      <c r="O63" s="114" t="s">
        <v>33</v>
      </c>
      <c r="P63" s="114">
        <f aca="true" t="shared" si="18" ref="P63:W63">P54*100%*0*$E$47</f>
        <v>0</v>
      </c>
      <c r="Q63" s="114">
        <f t="shared" si="18"/>
        <v>0</v>
      </c>
      <c r="R63" s="114">
        <f t="shared" si="18"/>
        <v>0</v>
      </c>
      <c r="S63" s="114">
        <f t="shared" si="18"/>
        <v>0</v>
      </c>
      <c r="T63" s="114">
        <f t="shared" si="18"/>
        <v>0</v>
      </c>
      <c r="U63" s="114">
        <f t="shared" si="18"/>
        <v>0</v>
      </c>
      <c r="V63" s="114">
        <f t="shared" si="18"/>
        <v>0</v>
      </c>
      <c r="W63" s="114">
        <f t="shared" si="18"/>
        <v>0</v>
      </c>
      <c r="X63" s="115"/>
      <c r="Y63" s="126"/>
    </row>
    <row r="64" spans="14:25" ht="15.75">
      <c r="N64" s="114"/>
      <c r="O64" s="114" t="s">
        <v>34</v>
      </c>
      <c r="P64" s="114">
        <f aca="true" t="shared" si="19" ref="P64:W64">P55*100%*0*$E$47</f>
        <v>0</v>
      </c>
      <c r="Q64" s="114">
        <f t="shared" si="19"/>
        <v>0</v>
      </c>
      <c r="R64" s="114">
        <f t="shared" si="19"/>
        <v>0</v>
      </c>
      <c r="S64" s="114">
        <f t="shared" si="19"/>
        <v>0</v>
      </c>
      <c r="T64" s="114">
        <f t="shared" si="19"/>
        <v>0</v>
      </c>
      <c r="U64" s="114">
        <f t="shared" si="19"/>
        <v>0</v>
      </c>
      <c r="V64" s="114">
        <f t="shared" si="19"/>
        <v>0</v>
      </c>
      <c r="W64" s="114">
        <f t="shared" si="19"/>
        <v>0</v>
      </c>
      <c r="X64" s="115"/>
      <c r="Y64" s="126"/>
    </row>
    <row r="65" spans="14:25" ht="15.75">
      <c r="N65" s="114"/>
      <c r="O65" s="114" t="s">
        <v>35</v>
      </c>
      <c r="P65" s="114">
        <f aca="true" t="shared" si="20" ref="P65:W65">P56*100%*0*$E$47</f>
        <v>0</v>
      </c>
      <c r="Q65" s="114">
        <f t="shared" si="20"/>
        <v>0</v>
      </c>
      <c r="R65" s="114">
        <f t="shared" si="20"/>
        <v>0</v>
      </c>
      <c r="S65" s="114">
        <f t="shared" si="20"/>
        <v>0</v>
      </c>
      <c r="T65" s="114">
        <f t="shared" si="20"/>
        <v>0</v>
      </c>
      <c r="U65" s="114">
        <f t="shared" si="20"/>
        <v>0</v>
      </c>
      <c r="V65" s="114">
        <f t="shared" si="20"/>
        <v>0</v>
      </c>
      <c r="W65" s="114">
        <f t="shared" si="20"/>
        <v>0</v>
      </c>
      <c r="X65" s="115"/>
      <c r="Y65" s="126"/>
    </row>
    <row r="66" spans="14:25" ht="15.75">
      <c r="N66" s="114"/>
      <c r="O66" s="114"/>
      <c r="P66" s="114"/>
      <c r="Q66" s="114"/>
      <c r="R66" s="114"/>
      <c r="S66" s="114"/>
      <c r="T66" s="114"/>
      <c r="U66" s="114"/>
      <c r="V66" s="114"/>
      <c r="W66" s="115"/>
      <c r="X66" s="115"/>
      <c r="Y66" s="126"/>
    </row>
    <row r="67" spans="14:25" ht="15.75">
      <c r="N67" s="113" t="s">
        <v>233</v>
      </c>
      <c r="O67" s="114">
        <f>SUM(P62:W65)</f>
        <v>0</v>
      </c>
      <c r="P67" s="114"/>
      <c r="Q67" s="114"/>
      <c r="R67" s="114"/>
      <c r="S67" s="114"/>
      <c r="T67" s="114"/>
      <c r="U67" s="114"/>
      <c r="V67" s="114"/>
      <c r="W67" s="115"/>
      <c r="X67" s="115" t="s">
        <v>234</v>
      </c>
      <c r="Y67" s="126"/>
    </row>
    <row r="68" spans="14:25" ht="15.75">
      <c r="N68" s="113" t="s">
        <v>233</v>
      </c>
      <c r="O68" s="114">
        <f>O67*310</f>
        <v>0</v>
      </c>
      <c r="P68" s="114"/>
      <c r="Q68" s="114"/>
      <c r="R68" s="114"/>
      <c r="S68" s="114"/>
      <c r="T68" s="114"/>
      <c r="U68" s="114"/>
      <c r="V68" s="114"/>
      <c r="W68" s="115"/>
      <c r="X68" s="115" t="s">
        <v>181</v>
      </c>
      <c r="Y68" s="126"/>
    </row>
    <row r="69" spans="14:25" ht="15.75">
      <c r="N69" s="108" t="s">
        <v>233</v>
      </c>
      <c r="O69" s="109">
        <f>O68*10^3</f>
        <v>0</v>
      </c>
      <c r="P69" s="109"/>
      <c r="Q69" s="109"/>
      <c r="R69" s="109"/>
      <c r="S69" s="109"/>
      <c r="T69" s="109"/>
      <c r="U69" s="109"/>
      <c r="V69" s="109"/>
      <c r="W69" s="125"/>
      <c r="X69" s="125" t="s">
        <v>182</v>
      </c>
      <c r="Y69" s="127"/>
    </row>
    <row r="102" spans="15:25" ht="15.75">
      <c r="O102" s="101"/>
      <c r="P102" s="101"/>
      <c r="Q102" s="101"/>
      <c r="R102" s="101"/>
      <c r="S102" s="101"/>
      <c r="T102" s="101"/>
      <c r="U102" s="101"/>
      <c r="Y102" s="111"/>
    </row>
    <row r="103" spans="15:25" ht="15.75">
      <c r="O103" s="101"/>
      <c r="P103" s="101"/>
      <c r="Q103" s="101"/>
      <c r="R103" s="101"/>
      <c r="S103" s="101"/>
      <c r="T103" s="101"/>
      <c r="U103" s="101"/>
      <c r="Y103" s="111"/>
    </row>
    <row r="104" spans="15:25" ht="15.75">
      <c r="O104" s="101"/>
      <c r="P104" s="101"/>
      <c r="Q104" s="101"/>
      <c r="R104" s="101"/>
      <c r="S104" s="101"/>
      <c r="T104" s="101"/>
      <c r="U104" s="101"/>
      <c r="Y104" s="111"/>
    </row>
    <row r="105" spans="15:22" ht="15.75">
      <c r="O105" s="101"/>
      <c r="P105" s="101"/>
      <c r="Q105" s="101"/>
      <c r="R105" s="101"/>
      <c r="S105" s="101"/>
      <c r="T105" s="101"/>
      <c r="U105" s="101"/>
      <c r="V105" s="101"/>
    </row>
    <row r="106" spans="15:22" ht="15.75">
      <c r="O106" s="103"/>
      <c r="P106" s="103"/>
      <c r="Q106" s="103"/>
      <c r="R106" s="103"/>
      <c r="S106" s="103"/>
      <c r="T106" s="103"/>
      <c r="U106" s="103"/>
      <c r="V106" s="101"/>
    </row>
  </sheetData>
  <sheetProtection sheet="1" objects="1" scenarios="1"/>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H67"/>
  <sheetViews>
    <sheetView zoomScalePageLayoutView="0" workbookViewId="0" topLeftCell="A58">
      <selection activeCell="B65" sqref="B65:C67"/>
    </sheetView>
  </sheetViews>
  <sheetFormatPr defaultColWidth="9.140625" defaultRowHeight="12.75"/>
  <cols>
    <col min="2" max="2" width="34.421875" style="0" bestFit="1" customWidth="1"/>
  </cols>
  <sheetData>
    <row r="2" spans="2:8" ht="15.75">
      <c r="B2" s="236" t="s">
        <v>111</v>
      </c>
      <c r="C2" s="237"/>
      <c r="D2" s="237"/>
      <c r="E2" s="237"/>
      <c r="F2" s="236" t="s">
        <v>110</v>
      </c>
      <c r="G2" s="237"/>
      <c r="H2" s="237"/>
    </row>
    <row r="3" spans="2:8" ht="15.75">
      <c r="B3" s="238" t="s">
        <v>448</v>
      </c>
      <c r="C3" s="238"/>
      <c r="D3" s="238">
        <f>D4*D5</f>
        <v>141.79999999999998</v>
      </c>
      <c r="E3" s="238"/>
      <c r="F3" s="238" t="s">
        <v>446</v>
      </c>
      <c r="G3" s="238"/>
      <c r="H3" s="238"/>
    </row>
    <row r="4" spans="2:8" ht="15.75">
      <c r="B4" s="238" t="s">
        <v>447</v>
      </c>
      <c r="C4" s="238"/>
      <c r="D4" s="238">
        <v>200</v>
      </c>
      <c r="E4" s="238"/>
      <c r="F4" s="238" t="s">
        <v>446</v>
      </c>
      <c r="G4" s="238"/>
      <c r="H4" s="238"/>
    </row>
    <row r="5" spans="2:8" ht="15.75">
      <c r="B5" s="238" t="s">
        <v>449</v>
      </c>
      <c r="C5" s="238"/>
      <c r="D5" s="238">
        <f>IF(D6="early",0.709,0.889)</f>
        <v>0.709</v>
      </c>
      <c r="E5" s="238"/>
      <c r="F5" s="238"/>
      <c r="G5" s="238"/>
      <c r="H5" s="238"/>
    </row>
    <row r="6" spans="2:8" ht="15.75">
      <c r="B6" s="238" t="s">
        <v>450</v>
      </c>
      <c r="C6" s="238"/>
      <c r="D6" s="238" t="s">
        <v>452</v>
      </c>
      <c r="E6" s="238"/>
      <c r="F6" s="238" t="s">
        <v>451</v>
      </c>
      <c r="G6" s="238"/>
      <c r="H6" s="238"/>
    </row>
    <row r="7" spans="2:8" ht="15.75">
      <c r="B7" s="238"/>
      <c r="C7" s="238"/>
      <c r="D7" s="238"/>
      <c r="E7" s="238"/>
      <c r="F7" s="238"/>
      <c r="G7" s="238"/>
      <c r="H7" s="238"/>
    </row>
    <row r="8" spans="2:8" ht="15.75">
      <c r="B8" s="238"/>
      <c r="C8" s="238"/>
      <c r="D8" s="238"/>
      <c r="E8" s="238"/>
      <c r="F8" s="239"/>
      <c r="G8" s="238"/>
      <c r="H8" s="238"/>
    </row>
    <row r="9" spans="2:8" ht="15.75">
      <c r="B9" s="238"/>
      <c r="C9" s="238"/>
      <c r="D9" s="238"/>
      <c r="E9" s="238"/>
      <c r="F9" s="238"/>
      <c r="G9" s="238"/>
      <c r="H9" s="238"/>
    </row>
    <row r="14" ht="13.5" thickBot="1">
      <c r="B14" s="355" t="s">
        <v>453</v>
      </c>
    </row>
    <row r="15" spans="2:4" ht="63.75" thickBot="1">
      <c r="B15" s="362" t="s">
        <v>460</v>
      </c>
      <c r="C15" s="363" t="s">
        <v>464</v>
      </c>
      <c r="D15" s="363" t="s">
        <v>465</v>
      </c>
    </row>
    <row r="16" spans="2:4" ht="16.5" thickBot="1">
      <c r="B16" s="364" t="s">
        <v>454</v>
      </c>
      <c r="C16" s="365">
        <v>0.658</v>
      </c>
      <c r="D16" s="365">
        <v>0.7608</v>
      </c>
    </row>
    <row r="17" spans="2:4" ht="16.5" thickBot="1">
      <c r="B17" s="364" t="s">
        <v>455</v>
      </c>
      <c r="C17" s="365">
        <v>0.13192</v>
      </c>
      <c r="D17" s="365">
        <v>0.31844</v>
      </c>
    </row>
    <row r="18" spans="2:4" ht="16.5" thickBot="1">
      <c r="B18" s="364" t="s">
        <v>456</v>
      </c>
      <c r="C18" s="365">
        <v>0.1448</v>
      </c>
      <c r="D18" s="365">
        <v>0.2676</v>
      </c>
    </row>
    <row r="19" spans="2:4" ht="16.5" thickBot="1">
      <c r="B19" s="364" t="s">
        <v>457</v>
      </c>
      <c r="C19" s="365">
        <v>0.2556</v>
      </c>
      <c r="D19" s="365">
        <v>0.3464</v>
      </c>
    </row>
    <row r="21" ht="13.5" thickBot="1">
      <c r="B21" s="355" t="s">
        <v>458</v>
      </c>
    </row>
    <row r="22" spans="2:5" ht="16.5" thickBot="1">
      <c r="B22" s="356" t="s">
        <v>459</v>
      </c>
      <c r="C22" s="401" t="s">
        <v>460</v>
      </c>
      <c r="D22" s="402"/>
      <c r="E22" s="403"/>
    </row>
    <row r="23" spans="2:5" ht="16.5" thickBot="1">
      <c r="B23" s="358"/>
      <c r="C23" s="359" t="s">
        <v>455</v>
      </c>
      <c r="D23" s="360" t="s">
        <v>456</v>
      </c>
      <c r="E23" s="360" t="s">
        <v>457</v>
      </c>
    </row>
    <row r="24" spans="2:5" ht="16.5" thickBot="1">
      <c r="B24" s="358" t="s">
        <v>461</v>
      </c>
      <c r="C24" s="361">
        <v>1.4</v>
      </c>
      <c r="D24" s="361">
        <v>4.8</v>
      </c>
      <c r="E24" s="361">
        <v>1.5</v>
      </c>
    </row>
    <row r="25" spans="2:5" ht="16.5" thickBot="1">
      <c r="B25" s="358" t="s">
        <v>462</v>
      </c>
      <c r="C25" s="361">
        <v>0.9</v>
      </c>
      <c r="D25" s="361">
        <v>2.2</v>
      </c>
      <c r="E25" s="361">
        <v>0.5</v>
      </c>
    </row>
    <row r="26" spans="2:5" ht="16.5" thickBot="1">
      <c r="B26" s="358" t="s">
        <v>316</v>
      </c>
      <c r="C26" s="361">
        <v>1.2</v>
      </c>
      <c r="D26" s="361">
        <v>3.4</v>
      </c>
      <c r="E26" s="361">
        <v>1.7</v>
      </c>
    </row>
    <row r="27" spans="2:5" ht="16.5" thickBot="1">
      <c r="B27" s="358" t="s">
        <v>463</v>
      </c>
      <c r="C27" s="361">
        <v>0.6</v>
      </c>
      <c r="D27" s="361">
        <v>1.7</v>
      </c>
      <c r="E27" s="361">
        <v>1.8</v>
      </c>
    </row>
    <row r="29" ht="19.5" thickBot="1">
      <c r="B29" s="357" t="s">
        <v>466</v>
      </c>
    </row>
    <row r="30" spans="2:8" ht="16.5" thickBot="1">
      <c r="B30" s="404" t="s">
        <v>467</v>
      </c>
      <c r="C30" s="406" t="s">
        <v>468</v>
      </c>
      <c r="D30" s="407"/>
      <c r="E30" s="407"/>
      <c r="F30" s="407"/>
      <c r="G30" s="407"/>
      <c r="H30" s="408"/>
    </row>
    <row r="31" spans="2:8" ht="16.5" thickBot="1">
      <c r="B31" s="405"/>
      <c r="C31" s="366">
        <v>1</v>
      </c>
      <c r="D31" s="366">
        <v>2</v>
      </c>
      <c r="E31" s="366">
        <v>3</v>
      </c>
      <c r="F31" s="366">
        <v>4</v>
      </c>
      <c r="G31" s="366">
        <v>5</v>
      </c>
      <c r="H31" s="366" t="s">
        <v>469</v>
      </c>
    </row>
    <row r="32" spans="2:8" ht="16.5" thickBot="1">
      <c r="B32" s="367" t="s">
        <v>461</v>
      </c>
      <c r="C32" s="368">
        <v>2.74</v>
      </c>
      <c r="D32" s="368">
        <v>4.25</v>
      </c>
      <c r="E32" s="368">
        <v>5.07</v>
      </c>
      <c r="F32" s="368">
        <v>5.53</v>
      </c>
      <c r="G32" s="368">
        <v>5.78</v>
      </c>
      <c r="H32" s="368">
        <v>6.06</v>
      </c>
    </row>
    <row r="33" spans="2:8" ht="16.5" thickBot="1">
      <c r="B33" s="367" t="s">
        <v>462</v>
      </c>
      <c r="C33" s="368">
        <v>3.8</v>
      </c>
      <c r="D33" s="368">
        <v>4.41</v>
      </c>
      <c r="E33" s="368">
        <v>4.51</v>
      </c>
      <c r="F33" s="368">
        <v>4.53</v>
      </c>
      <c r="G33" s="368">
        <v>4.53</v>
      </c>
      <c r="H33" s="368">
        <v>4.53</v>
      </c>
    </row>
    <row r="34" spans="2:8" ht="16.5" thickBot="1">
      <c r="B34" s="367" t="s">
        <v>316</v>
      </c>
      <c r="C34" s="368">
        <v>2.08</v>
      </c>
      <c r="D34" s="368">
        <v>3.41</v>
      </c>
      <c r="E34" s="368">
        <v>4.25</v>
      </c>
      <c r="F34" s="368">
        <v>4.79</v>
      </c>
      <c r="G34" s="368">
        <v>5.14</v>
      </c>
      <c r="H34" s="368">
        <v>5.68</v>
      </c>
    </row>
    <row r="35" spans="2:8" ht="16.5" thickBot="1">
      <c r="B35" s="367" t="s">
        <v>463</v>
      </c>
      <c r="C35" s="368">
        <v>1.88</v>
      </c>
      <c r="D35" s="368">
        <v>3.55</v>
      </c>
      <c r="E35" s="368">
        <v>5.03</v>
      </c>
      <c r="F35" s="368">
        <v>6.35</v>
      </c>
      <c r="G35" s="368">
        <v>7.51</v>
      </c>
      <c r="H35" s="368">
        <v>11.64</v>
      </c>
    </row>
    <row r="37" ht="16.5" thickBot="1">
      <c r="A37" s="2" t="s">
        <v>470</v>
      </c>
    </row>
    <row r="38" spans="2:6" ht="16.5" thickBot="1">
      <c r="B38" s="409" t="s">
        <v>459</v>
      </c>
      <c r="C38" s="411" t="s">
        <v>460</v>
      </c>
      <c r="D38" s="412"/>
      <c r="E38" s="412"/>
      <c r="F38" s="413"/>
    </row>
    <row r="39" spans="2:6" ht="13.5" thickBot="1">
      <c r="B39" s="410"/>
      <c r="C39" s="369" t="s">
        <v>471</v>
      </c>
      <c r="D39" s="370" t="s">
        <v>455</v>
      </c>
      <c r="E39" s="370" t="s">
        <v>472</v>
      </c>
      <c r="F39" s="370" t="s">
        <v>457</v>
      </c>
    </row>
    <row r="40" spans="2:6" ht="16.5" thickBot="1">
      <c r="B40" s="371" t="s">
        <v>461</v>
      </c>
      <c r="C40" s="372">
        <v>0.0031</v>
      </c>
      <c r="D40" s="372">
        <v>0.0031</v>
      </c>
      <c r="E40" s="372">
        <v>0.01</v>
      </c>
      <c r="F40" s="372">
        <v>0.0031</v>
      </c>
    </row>
    <row r="41" spans="2:6" ht="16.5" thickBot="1">
      <c r="B41" s="371" t="s">
        <v>462</v>
      </c>
      <c r="C41" s="372">
        <v>0.0031</v>
      </c>
      <c r="D41" s="372">
        <v>0.0031</v>
      </c>
      <c r="E41" s="372">
        <v>0.01</v>
      </c>
      <c r="F41" s="372">
        <v>0.0031</v>
      </c>
    </row>
    <row r="42" spans="2:6" ht="16.5" thickBot="1">
      <c r="B42" s="371" t="s">
        <v>316</v>
      </c>
      <c r="C42" s="372">
        <v>0.0031</v>
      </c>
      <c r="D42" s="372">
        <v>0.0031</v>
      </c>
      <c r="E42" s="372">
        <v>0.01</v>
      </c>
      <c r="F42" s="372">
        <v>0.0031</v>
      </c>
    </row>
    <row r="43" spans="2:6" ht="16.5" thickBot="1">
      <c r="B43" s="371" t="s">
        <v>463</v>
      </c>
      <c r="C43" s="372">
        <v>0.0015</v>
      </c>
      <c r="D43" s="372">
        <v>0.0015</v>
      </c>
      <c r="E43" s="372">
        <v>0.01</v>
      </c>
      <c r="F43" s="372">
        <v>0.0015</v>
      </c>
    </row>
    <row r="45" ht="16.5" thickBot="1">
      <c r="A45" s="373" t="s">
        <v>473</v>
      </c>
    </row>
    <row r="46" spans="2:6" ht="16.5" thickBot="1">
      <c r="B46" s="409" t="s">
        <v>459</v>
      </c>
      <c r="C46" s="411" t="s">
        <v>460</v>
      </c>
      <c r="D46" s="412"/>
      <c r="E46" s="412"/>
      <c r="F46" s="413"/>
    </row>
    <row r="47" spans="2:6" ht="13.5" thickBot="1">
      <c r="B47" s="410"/>
      <c r="C47" s="369" t="s">
        <v>471</v>
      </c>
      <c r="D47" s="370" t="s">
        <v>455</v>
      </c>
      <c r="E47" s="370" t="s">
        <v>472</v>
      </c>
      <c r="F47" s="370" t="s">
        <v>457</v>
      </c>
    </row>
    <row r="48" spans="2:6" ht="16.5" thickBot="1">
      <c r="B48" s="371" t="s">
        <v>461</v>
      </c>
      <c r="C48" s="374">
        <v>0.0075</v>
      </c>
      <c r="D48" s="374">
        <v>0.0075</v>
      </c>
      <c r="E48" s="374">
        <v>0.0036</v>
      </c>
      <c r="F48" s="374">
        <v>0.0075</v>
      </c>
    </row>
    <row r="49" spans="2:6" ht="16.5" thickBot="1">
      <c r="B49" s="371" t="s">
        <v>462</v>
      </c>
      <c r="C49" s="374">
        <v>0.0075</v>
      </c>
      <c r="D49" s="374">
        <v>0.0075</v>
      </c>
      <c r="E49" s="374">
        <v>0.0036</v>
      </c>
      <c r="F49" s="374">
        <v>0.0075</v>
      </c>
    </row>
    <row r="50" spans="2:6" ht="16.5" thickBot="1">
      <c r="B50" s="371" t="s">
        <v>316</v>
      </c>
      <c r="C50" s="374">
        <v>0.0075</v>
      </c>
      <c r="D50" s="374">
        <v>0.0075</v>
      </c>
      <c r="E50" s="374">
        <v>0.0036</v>
      </c>
      <c r="F50" s="374">
        <v>0.0075</v>
      </c>
    </row>
    <row r="51" spans="2:6" ht="16.5" thickBot="1">
      <c r="B51" s="371" t="s">
        <v>463</v>
      </c>
      <c r="C51" s="374">
        <v>0.0066</v>
      </c>
      <c r="D51" s="374">
        <v>0.0066</v>
      </c>
      <c r="E51" s="374">
        <v>0.0036</v>
      </c>
      <c r="F51" s="374">
        <v>0.0066</v>
      </c>
    </row>
    <row r="53" ht="16.5" thickBot="1">
      <c r="A53" s="373" t="s">
        <v>474</v>
      </c>
    </row>
    <row r="54" spans="2:6" ht="17.25" thickBot="1" thickTop="1">
      <c r="B54" s="375"/>
      <c r="C54" s="395" t="s">
        <v>460</v>
      </c>
      <c r="D54" s="396"/>
      <c r="E54" s="396"/>
      <c r="F54" s="397"/>
    </row>
    <row r="55" spans="2:6" ht="16.5" thickBot="1">
      <c r="B55" s="376" t="s">
        <v>475</v>
      </c>
      <c r="C55" s="377" t="s">
        <v>454</v>
      </c>
      <c r="D55" s="377" t="s">
        <v>455</v>
      </c>
      <c r="E55" s="377" t="s">
        <v>456</v>
      </c>
      <c r="F55" s="378" t="s">
        <v>457</v>
      </c>
    </row>
    <row r="56" spans="2:6" ht="15.75">
      <c r="B56" s="379" t="s">
        <v>476</v>
      </c>
      <c r="C56" s="380">
        <v>0.46</v>
      </c>
      <c r="D56" s="380">
        <v>0.46</v>
      </c>
      <c r="E56" s="380">
        <v>0.46</v>
      </c>
      <c r="F56" s="381">
        <v>0.46</v>
      </c>
    </row>
    <row r="57" spans="2:6" ht="16.5" thickBot="1">
      <c r="B57" s="382"/>
      <c r="C57" s="383"/>
      <c r="D57" s="383"/>
      <c r="E57" s="383"/>
      <c r="F57" s="384"/>
    </row>
    <row r="58" ht="13.5" thickTop="1"/>
    <row r="59" ht="16.5" thickBot="1">
      <c r="A59" s="373" t="s">
        <v>477</v>
      </c>
    </row>
    <row r="60" spans="2:6" ht="17.25" thickBot="1" thickTop="1">
      <c r="B60" s="385"/>
      <c r="C60" s="398" t="s">
        <v>460</v>
      </c>
      <c r="D60" s="399"/>
      <c r="E60" s="399"/>
      <c r="F60" s="400"/>
    </row>
    <row r="61" spans="2:6" ht="16.5" thickBot="1">
      <c r="B61" s="386" t="s">
        <v>475</v>
      </c>
      <c r="C61" s="387" t="s">
        <v>454</v>
      </c>
      <c r="D61" s="387" t="s">
        <v>455</v>
      </c>
      <c r="E61" s="387" t="s">
        <v>456</v>
      </c>
      <c r="F61" s="388" t="s">
        <v>457</v>
      </c>
    </row>
    <row r="62" spans="2:6" ht="16.5" thickBot="1">
      <c r="B62" s="386" t="s">
        <v>478</v>
      </c>
      <c r="C62" s="361">
        <v>0.0096</v>
      </c>
      <c r="D62" s="361">
        <v>0.0081</v>
      </c>
      <c r="E62" s="361">
        <v>0.0081</v>
      </c>
      <c r="F62" s="389">
        <v>0.0093</v>
      </c>
    </row>
    <row r="64" ht="16.5" thickBot="1">
      <c r="A64" s="373" t="s">
        <v>479</v>
      </c>
    </row>
    <row r="65" spans="2:3" ht="63.75" thickBot="1">
      <c r="B65" s="390" t="s">
        <v>480</v>
      </c>
      <c r="C65" s="391" t="s">
        <v>481</v>
      </c>
    </row>
    <row r="66" spans="2:3" ht="19.5" thickBot="1">
      <c r="B66" s="392" t="s">
        <v>482</v>
      </c>
      <c r="C66" s="365">
        <v>1.3333</v>
      </c>
    </row>
    <row r="67" spans="2:3" ht="19.5" thickBot="1">
      <c r="B67" s="392" t="s">
        <v>483</v>
      </c>
      <c r="C67" s="365">
        <v>1.5714</v>
      </c>
    </row>
  </sheetData>
  <sheetProtection/>
  <mergeCells count="9">
    <mergeCell ref="C54:F54"/>
    <mergeCell ref="C60:F60"/>
    <mergeCell ref="C22:E22"/>
    <mergeCell ref="B30:B31"/>
    <mergeCell ref="C30:H30"/>
    <mergeCell ref="B38:B39"/>
    <mergeCell ref="C38:F38"/>
    <mergeCell ref="B46:B47"/>
    <mergeCell ref="C46:F46"/>
  </mergeCells>
  <printOptions/>
  <pageMargins left="0.7" right="0.7" top="0.75" bottom="0.75" header="0.3" footer="0.3"/>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dimension ref="A1:AC218"/>
  <sheetViews>
    <sheetView showGridLines="0" zoomScale="80" zoomScaleNormal="80" zoomScalePageLayoutView="0" workbookViewId="0" topLeftCell="A130">
      <selection activeCell="D144" sqref="D144"/>
    </sheetView>
  </sheetViews>
  <sheetFormatPr defaultColWidth="8.8515625" defaultRowHeight="12.75"/>
  <cols>
    <col min="1" max="1" width="3.140625" style="1" customWidth="1"/>
    <col min="2" max="2" width="38.8515625" style="1" customWidth="1"/>
    <col min="3" max="3" width="15.421875" style="1" customWidth="1"/>
    <col min="4" max="4" width="13.7109375" style="1" customWidth="1"/>
    <col min="5" max="5" width="14.28125" style="1" customWidth="1"/>
    <col min="6" max="6" width="11.421875" style="1" customWidth="1"/>
    <col min="7" max="7" width="14.28125" style="1" customWidth="1"/>
    <col min="8" max="8" width="14.7109375" style="1" customWidth="1"/>
    <col min="9" max="10" width="14.00390625" style="1" bestFit="1" customWidth="1"/>
    <col min="11" max="11" width="14.00390625" style="1" customWidth="1"/>
    <col min="12" max="12" width="19.28125" style="1" customWidth="1"/>
    <col min="13" max="13" width="21.57421875" style="104" customWidth="1"/>
    <col min="14" max="14" width="20.00390625" style="1" bestFit="1" customWidth="1"/>
    <col min="15" max="15" width="6.57421875" style="1" customWidth="1"/>
    <col min="16" max="16" width="13.28125" style="1" bestFit="1" customWidth="1"/>
    <col min="17" max="17" width="15.00390625" style="1" bestFit="1" customWidth="1"/>
    <col min="18" max="18" width="15.28125" style="1" bestFit="1" customWidth="1"/>
    <col min="19" max="20" width="12.7109375" style="1" bestFit="1" customWidth="1"/>
    <col min="21" max="25" width="8.8515625" style="1" customWidth="1"/>
    <col min="26" max="26" width="15.421875" style="1" bestFit="1" customWidth="1"/>
    <col min="27" max="16384" width="8.8515625" style="1" customWidth="1"/>
  </cols>
  <sheetData>
    <row r="1" spans="1:13" ht="30" customHeight="1">
      <c r="A1" s="48" t="s">
        <v>236</v>
      </c>
      <c r="H1" s="2"/>
      <c r="M1" s="145"/>
    </row>
    <row r="2" spans="2:12" ht="15.75">
      <c r="B2" s="100"/>
      <c r="H2" s="50"/>
      <c r="I2" s="3"/>
      <c r="J2" s="3"/>
      <c r="K2" s="3"/>
      <c r="L2" s="3"/>
    </row>
    <row r="3" spans="2:13" ht="15.75">
      <c r="B3" s="135" t="s">
        <v>111</v>
      </c>
      <c r="C3" s="135" t="s">
        <v>65</v>
      </c>
      <c r="D3" s="142"/>
      <c r="E3" s="135"/>
      <c r="F3" s="135"/>
      <c r="G3" s="135"/>
      <c r="H3" s="135"/>
      <c r="I3" s="135"/>
      <c r="J3" s="135"/>
      <c r="K3" s="135"/>
      <c r="L3" s="136" t="str">
        <f>'Enteric fermentation'!L3</f>
        <v>Units</v>
      </c>
      <c r="M3" s="132" t="s">
        <v>427</v>
      </c>
    </row>
    <row r="4" spans="2:13" ht="15.75">
      <c r="B4" s="137"/>
      <c r="C4" s="138"/>
      <c r="D4" s="137"/>
      <c r="E4" s="139"/>
      <c r="F4" s="134"/>
      <c r="G4" s="134"/>
      <c r="H4" s="134"/>
      <c r="I4" s="134"/>
      <c r="J4" s="134"/>
      <c r="K4" s="134"/>
      <c r="L4" s="134"/>
      <c r="M4" s="143"/>
    </row>
    <row r="5" spans="2:13" ht="15.75">
      <c r="B5" s="140" t="s">
        <v>360</v>
      </c>
      <c r="C5" s="134" t="s">
        <v>32</v>
      </c>
      <c r="D5" s="137">
        <f>'Data input'!D37*$C$15</f>
        <v>0</v>
      </c>
      <c r="E5" s="137"/>
      <c r="F5" s="134"/>
      <c r="G5" s="134"/>
      <c r="H5" s="134"/>
      <c r="I5" s="139"/>
      <c r="J5" s="134"/>
      <c r="K5" s="134"/>
      <c r="L5" s="134" t="s">
        <v>238</v>
      </c>
      <c r="M5" s="143"/>
    </row>
    <row r="6" spans="2:13" ht="15.75">
      <c r="B6" s="134"/>
      <c r="C6" s="134" t="s">
        <v>33</v>
      </c>
      <c r="D6" s="137">
        <f>'Data input'!D38*$C$15</f>
        <v>0</v>
      </c>
      <c r="E6" s="137"/>
      <c r="F6" s="134"/>
      <c r="G6" s="134"/>
      <c r="H6" s="134"/>
      <c r="I6" s="139"/>
      <c r="J6" s="134"/>
      <c r="K6" s="134"/>
      <c r="L6" s="134" t="s">
        <v>238</v>
      </c>
      <c r="M6" s="143"/>
    </row>
    <row r="7" spans="2:13" ht="15.75">
      <c r="B7" s="134"/>
      <c r="C7" s="134" t="s">
        <v>34</v>
      </c>
      <c r="D7" s="137">
        <f>'Data input'!D39*$C$15</f>
        <v>0</v>
      </c>
      <c r="E7" s="137"/>
      <c r="F7" s="134"/>
      <c r="G7" s="134"/>
      <c r="H7" s="134"/>
      <c r="I7" s="139"/>
      <c r="J7" s="134"/>
      <c r="K7" s="134"/>
      <c r="L7" s="134" t="s">
        <v>238</v>
      </c>
      <c r="M7" s="143"/>
    </row>
    <row r="8" spans="2:13" ht="15.75">
      <c r="B8" s="134"/>
      <c r="C8" s="134" t="s">
        <v>35</v>
      </c>
      <c r="D8" s="137">
        <f>'Data input'!D40*$C$15</f>
        <v>0</v>
      </c>
      <c r="E8" s="137"/>
      <c r="F8" s="134"/>
      <c r="G8" s="134"/>
      <c r="H8" s="134"/>
      <c r="I8" s="139"/>
      <c r="J8" s="134"/>
      <c r="K8" s="134"/>
      <c r="L8" s="134" t="s">
        <v>238</v>
      </c>
      <c r="M8" s="143"/>
    </row>
    <row r="9" spans="2:13" ht="15.75">
      <c r="B9" s="134"/>
      <c r="C9" s="137"/>
      <c r="D9" s="137"/>
      <c r="E9" s="137"/>
      <c r="F9" s="134"/>
      <c r="G9" s="134"/>
      <c r="H9" s="134"/>
      <c r="I9" s="139"/>
      <c r="J9" s="134"/>
      <c r="K9" s="134"/>
      <c r="L9" s="134"/>
      <c r="M9" s="143"/>
    </row>
    <row r="10" spans="2:13" ht="15.75">
      <c r="B10" s="140" t="s">
        <v>359</v>
      </c>
      <c r="C10" s="134" t="s">
        <v>32</v>
      </c>
      <c r="D10" s="137">
        <f>'Data input'!D43*$C$16</f>
        <v>0</v>
      </c>
      <c r="E10" s="137"/>
      <c r="F10" s="134"/>
      <c r="G10" s="134"/>
      <c r="H10" s="134"/>
      <c r="I10" s="139"/>
      <c r="J10" s="134"/>
      <c r="K10" s="134"/>
      <c r="L10" s="134" t="s">
        <v>238</v>
      </c>
      <c r="M10" s="143"/>
    </row>
    <row r="11" spans="2:13" ht="15.75">
      <c r="B11" s="134"/>
      <c r="C11" s="134" t="s">
        <v>33</v>
      </c>
      <c r="D11" s="137">
        <f>'Data input'!D44*$C$16</f>
        <v>0</v>
      </c>
      <c r="E11" s="137"/>
      <c r="F11" s="134"/>
      <c r="G11" s="134"/>
      <c r="H11" s="134"/>
      <c r="I11" s="139"/>
      <c r="J11" s="134"/>
      <c r="K11" s="134"/>
      <c r="L11" s="134" t="s">
        <v>238</v>
      </c>
      <c r="M11" s="143"/>
    </row>
    <row r="12" spans="2:13" ht="15.75">
      <c r="B12" s="134"/>
      <c r="C12" s="134" t="s">
        <v>34</v>
      </c>
      <c r="D12" s="137">
        <f>'Data input'!D45*$C$16</f>
        <v>0</v>
      </c>
      <c r="E12" s="137"/>
      <c r="F12" s="134"/>
      <c r="G12" s="134"/>
      <c r="H12" s="134"/>
      <c r="I12" s="139"/>
      <c r="J12" s="134"/>
      <c r="K12" s="134"/>
      <c r="L12" s="134" t="s">
        <v>238</v>
      </c>
      <c r="M12" s="143"/>
    </row>
    <row r="13" spans="2:13" ht="15.75">
      <c r="B13" s="134"/>
      <c r="C13" s="134" t="s">
        <v>35</v>
      </c>
      <c r="D13" s="137">
        <f>'Data input'!D46*$C$16</f>
        <v>0</v>
      </c>
      <c r="E13" s="137"/>
      <c r="F13" s="134"/>
      <c r="G13" s="134"/>
      <c r="H13" s="134"/>
      <c r="I13" s="139"/>
      <c r="J13" s="134"/>
      <c r="K13" s="134"/>
      <c r="L13" s="134" t="s">
        <v>238</v>
      </c>
      <c r="M13" s="143"/>
    </row>
    <row r="14" spans="2:13" ht="15.75">
      <c r="B14" s="134"/>
      <c r="C14" s="134"/>
      <c r="D14" s="137"/>
      <c r="E14" s="139"/>
      <c r="F14" s="134"/>
      <c r="G14" s="134"/>
      <c r="H14" s="134"/>
      <c r="I14" s="139"/>
      <c r="J14" s="134"/>
      <c r="K14" s="134"/>
      <c r="L14" s="134"/>
      <c r="M14" s="143"/>
    </row>
    <row r="15" spans="2:13" ht="15.75">
      <c r="B15" s="140" t="s">
        <v>21</v>
      </c>
      <c r="C15" s="134">
        <f>'Data input'!C34</f>
        <v>10</v>
      </c>
      <c r="D15" s="137"/>
      <c r="E15" s="139"/>
      <c r="F15" s="134"/>
      <c r="G15" s="134"/>
      <c r="H15" s="134"/>
      <c r="I15" s="139"/>
      <c r="J15" s="134"/>
      <c r="K15" s="134"/>
      <c r="L15" s="134"/>
      <c r="M15" s="143"/>
    </row>
    <row r="16" spans="2:13" ht="15.75">
      <c r="B16" s="140" t="s">
        <v>22</v>
      </c>
      <c r="C16" s="134">
        <f>'Data input'!C35</f>
        <v>400</v>
      </c>
      <c r="D16" s="137"/>
      <c r="E16" s="139"/>
      <c r="F16" s="134"/>
      <c r="G16" s="134"/>
      <c r="H16" s="134"/>
      <c r="I16" s="139"/>
      <c r="J16" s="134"/>
      <c r="K16" s="134"/>
      <c r="L16" s="134"/>
      <c r="M16" s="143"/>
    </row>
    <row r="17" spans="2:13" ht="15.75">
      <c r="B17" s="162" t="s">
        <v>226</v>
      </c>
      <c r="C17" s="163">
        <f>44/28</f>
        <v>1.5714285714285714</v>
      </c>
      <c r="D17" s="137"/>
      <c r="E17" s="139"/>
      <c r="F17" s="134"/>
      <c r="G17" s="134"/>
      <c r="H17" s="134"/>
      <c r="I17" s="139"/>
      <c r="J17" s="134"/>
      <c r="K17" s="134"/>
      <c r="L17" s="134"/>
      <c r="M17" s="143"/>
    </row>
    <row r="18" spans="2:23" ht="15.75">
      <c r="B18" s="137"/>
      <c r="C18" s="134"/>
      <c r="D18" s="137"/>
      <c r="E18" s="139"/>
      <c r="F18" s="134"/>
      <c r="G18" s="134"/>
      <c r="H18" s="134"/>
      <c r="I18" s="139"/>
      <c r="J18" s="134"/>
      <c r="K18" s="134"/>
      <c r="L18" s="134"/>
      <c r="M18" s="151"/>
      <c r="N18" s="3"/>
      <c r="O18" s="3"/>
      <c r="P18" s="3"/>
      <c r="Q18" s="3"/>
      <c r="R18" s="3"/>
      <c r="S18" s="3"/>
      <c r="T18" s="3"/>
      <c r="U18" s="3"/>
      <c r="V18" s="3"/>
      <c r="W18" s="3"/>
    </row>
    <row r="19" spans="2:23" ht="15.75">
      <c r="B19" s="140" t="s">
        <v>237</v>
      </c>
      <c r="C19" s="137"/>
      <c r="D19" s="137"/>
      <c r="E19" s="139"/>
      <c r="F19" s="134"/>
      <c r="G19" s="134"/>
      <c r="H19" s="134"/>
      <c r="I19" s="139"/>
      <c r="J19" s="134"/>
      <c r="K19" s="134"/>
      <c r="L19" s="134"/>
      <c r="M19" s="151"/>
      <c r="N19" s="3"/>
      <c r="O19" s="3"/>
      <c r="P19" s="3"/>
      <c r="Q19" s="3"/>
      <c r="R19" s="3"/>
      <c r="S19" s="3"/>
      <c r="T19" s="3"/>
      <c r="U19" s="3"/>
      <c r="V19" s="3"/>
      <c r="W19" s="3"/>
    </row>
    <row r="20" spans="2:23" ht="15.75">
      <c r="B20" s="162" t="s">
        <v>239</v>
      </c>
      <c r="C20" s="137"/>
      <c r="D20" s="162" t="s">
        <v>240</v>
      </c>
      <c r="E20" s="139"/>
      <c r="F20" s="134"/>
      <c r="G20" s="134"/>
      <c r="H20" s="134"/>
      <c r="I20" s="139"/>
      <c r="J20" s="134"/>
      <c r="K20" s="134"/>
      <c r="L20" s="134"/>
      <c r="M20" s="151" t="s">
        <v>243</v>
      </c>
      <c r="N20" s="3"/>
      <c r="O20" s="3"/>
      <c r="P20" s="3"/>
      <c r="Q20" s="3"/>
      <c r="R20" s="3"/>
      <c r="S20" s="3"/>
      <c r="T20" s="3"/>
      <c r="U20" s="3"/>
      <c r="V20" s="3"/>
      <c r="W20" s="3"/>
    </row>
    <row r="21" spans="2:23" ht="12.75" customHeight="1">
      <c r="B21" s="134"/>
      <c r="C21" s="137"/>
      <c r="D21" s="137" t="s">
        <v>241</v>
      </c>
      <c r="E21" s="139"/>
      <c r="F21" s="134"/>
      <c r="G21" s="134"/>
      <c r="H21" s="134"/>
      <c r="I21" s="139"/>
      <c r="J21" s="134"/>
      <c r="K21" s="134"/>
      <c r="L21" s="134"/>
      <c r="M21" s="152"/>
      <c r="N21" s="3"/>
      <c r="O21" s="3"/>
      <c r="P21" s="3"/>
      <c r="Q21" s="3"/>
      <c r="R21" s="3"/>
      <c r="S21" s="3"/>
      <c r="T21" s="3"/>
      <c r="U21" s="3"/>
      <c r="V21" s="3"/>
      <c r="W21" s="3"/>
    </row>
    <row r="22" spans="2:23" ht="15.75">
      <c r="B22" s="134"/>
      <c r="C22" s="137"/>
      <c r="D22" s="137" t="s">
        <v>242</v>
      </c>
      <c r="E22" s="139"/>
      <c r="F22" s="134"/>
      <c r="G22" s="134"/>
      <c r="H22" s="134"/>
      <c r="I22" s="137"/>
      <c r="J22" s="137"/>
      <c r="K22" s="137"/>
      <c r="L22" s="134"/>
      <c r="M22" s="151" t="s">
        <v>244</v>
      </c>
      <c r="N22" s="3"/>
      <c r="O22" s="51"/>
      <c r="P22" s="3"/>
      <c r="Q22" s="3"/>
      <c r="R22" s="3"/>
      <c r="S22" s="3"/>
      <c r="T22" s="3"/>
      <c r="U22" s="3"/>
      <c r="V22" s="3"/>
      <c r="W22" s="3"/>
    </row>
    <row r="23" spans="2:23" ht="15.75">
      <c r="B23" s="134" t="s">
        <v>245</v>
      </c>
      <c r="C23" s="134" t="s">
        <v>32</v>
      </c>
      <c r="D23" s="134">
        <f>D5*1*10^-6</f>
        <v>0</v>
      </c>
      <c r="E23" s="137"/>
      <c r="F23" s="134"/>
      <c r="G23" s="134"/>
      <c r="H23" s="137"/>
      <c r="I23" s="137"/>
      <c r="J23" s="137"/>
      <c r="K23" s="137"/>
      <c r="L23" s="134" t="s">
        <v>246</v>
      </c>
      <c r="M23" s="151"/>
      <c r="N23" s="3"/>
      <c r="O23" s="3"/>
      <c r="P23" s="3"/>
      <c r="Q23" s="3"/>
      <c r="R23" s="3"/>
      <c r="S23" s="3"/>
      <c r="T23" s="3"/>
      <c r="U23" s="3"/>
      <c r="V23" s="3"/>
      <c r="W23" s="3"/>
    </row>
    <row r="24" spans="2:23" ht="15.75">
      <c r="B24" s="134"/>
      <c r="C24" s="134" t="s">
        <v>33</v>
      </c>
      <c r="D24" s="134">
        <f>D6*1*10^-6</f>
        <v>0</v>
      </c>
      <c r="E24" s="137"/>
      <c r="F24" s="134"/>
      <c r="G24" s="134"/>
      <c r="H24" s="134"/>
      <c r="I24" s="134"/>
      <c r="J24" s="134"/>
      <c r="K24" s="134"/>
      <c r="L24" s="134" t="s">
        <v>246</v>
      </c>
      <c r="M24" s="151"/>
      <c r="N24" s="3"/>
      <c r="O24" s="3"/>
      <c r="P24" s="3"/>
      <c r="Q24" s="3"/>
      <c r="R24" s="3"/>
      <c r="S24" s="3"/>
      <c r="T24" s="3"/>
      <c r="U24" s="3"/>
      <c r="V24" s="3"/>
      <c r="W24" s="3"/>
    </row>
    <row r="25" spans="2:23" ht="15.75">
      <c r="B25" s="134"/>
      <c r="C25" s="134" t="s">
        <v>34</v>
      </c>
      <c r="D25" s="134">
        <f>D7*1*10^-6</f>
        <v>0</v>
      </c>
      <c r="E25" s="137"/>
      <c r="F25" s="134"/>
      <c r="G25" s="134"/>
      <c r="H25" s="134"/>
      <c r="I25" s="134"/>
      <c r="J25" s="134"/>
      <c r="K25" s="134"/>
      <c r="L25" s="134" t="s">
        <v>246</v>
      </c>
      <c r="M25" s="151"/>
      <c r="N25" s="3"/>
      <c r="O25" s="3"/>
      <c r="P25" s="3"/>
      <c r="Q25" s="3"/>
      <c r="R25" s="3"/>
      <c r="S25" s="3"/>
      <c r="T25" s="3"/>
      <c r="U25" s="3"/>
      <c r="V25" s="3"/>
      <c r="W25" s="3"/>
    </row>
    <row r="26" spans="2:23" ht="15.75">
      <c r="B26" s="134"/>
      <c r="C26" s="134" t="s">
        <v>35</v>
      </c>
      <c r="D26" s="134">
        <f>D8*1*10^-6</f>
        <v>0</v>
      </c>
      <c r="E26" s="137"/>
      <c r="F26" s="134"/>
      <c r="G26" s="134"/>
      <c r="H26" s="134"/>
      <c r="I26" s="134"/>
      <c r="J26" s="134"/>
      <c r="K26" s="134"/>
      <c r="L26" s="134" t="s">
        <v>246</v>
      </c>
      <c r="M26" s="151"/>
      <c r="N26" s="3"/>
      <c r="O26" s="3"/>
      <c r="P26" s="3"/>
      <c r="Q26" s="3"/>
      <c r="R26" s="3"/>
      <c r="S26" s="3"/>
      <c r="T26" s="3"/>
      <c r="U26" s="3"/>
      <c r="V26" s="3"/>
      <c r="W26" s="3"/>
    </row>
    <row r="27" spans="2:23" ht="15.75">
      <c r="B27" s="134"/>
      <c r="C27" s="134"/>
      <c r="D27" s="134"/>
      <c r="E27" s="137"/>
      <c r="F27" s="134"/>
      <c r="G27" s="134"/>
      <c r="H27" s="134"/>
      <c r="I27" s="134"/>
      <c r="J27" s="134"/>
      <c r="K27" s="134"/>
      <c r="L27" s="134"/>
      <c r="M27" s="151"/>
      <c r="N27" s="3"/>
      <c r="O27" s="3"/>
      <c r="P27" s="3"/>
      <c r="Q27" s="3"/>
      <c r="R27" s="3"/>
      <c r="S27" s="3"/>
      <c r="T27" s="3"/>
      <c r="U27" s="3"/>
      <c r="V27" s="3"/>
      <c r="W27" s="3"/>
    </row>
    <row r="28" spans="2:23" ht="15.75">
      <c r="B28" s="134" t="s">
        <v>121</v>
      </c>
      <c r="C28" s="134" t="s">
        <v>32</v>
      </c>
      <c r="D28" s="134">
        <f>D10*1*10^-6</f>
        <v>0</v>
      </c>
      <c r="E28" s="137"/>
      <c r="F28" s="134"/>
      <c r="G28" s="134"/>
      <c r="H28" s="134"/>
      <c r="I28" s="134"/>
      <c r="J28" s="134"/>
      <c r="K28" s="134"/>
      <c r="L28" s="134" t="s">
        <v>246</v>
      </c>
      <c r="M28" s="151"/>
      <c r="N28" s="3"/>
      <c r="O28" s="3"/>
      <c r="P28" s="3"/>
      <c r="Q28" s="3"/>
      <c r="R28" s="3"/>
      <c r="S28" s="3"/>
      <c r="T28" s="3"/>
      <c r="U28" s="3"/>
      <c r="V28" s="3"/>
      <c r="W28" s="3"/>
    </row>
    <row r="29" spans="2:23" ht="15.75">
      <c r="B29" s="134"/>
      <c r="C29" s="134" t="s">
        <v>33</v>
      </c>
      <c r="D29" s="134">
        <f>D11*1*10^-6</f>
        <v>0</v>
      </c>
      <c r="E29" s="137"/>
      <c r="F29" s="134"/>
      <c r="G29" s="134"/>
      <c r="H29" s="134"/>
      <c r="I29" s="134"/>
      <c r="J29" s="134"/>
      <c r="K29" s="134"/>
      <c r="L29" s="134" t="s">
        <v>246</v>
      </c>
      <c r="M29" s="151"/>
      <c r="N29" s="3"/>
      <c r="O29" s="3"/>
      <c r="P29" s="3"/>
      <c r="Q29" s="3"/>
      <c r="R29" s="3"/>
      <c r="S29" s="3"/>
      <c r="T29" s="3"/>
      <c r="U29" s="3"/>
      <c r="V29" s="3"/>
      <c r="W29" s="3"/>
    </row>
    <row r="30" spans="2:23" ht="15.75">
      <c r="B30" s="134"/>
      <c r="C30" s="134" t="s">
        <v>34</v>
      </c>
      <c r="D30" s="134">
        <f>D12*1*10^-6</f>
        <v>0</v>
      </c>
      <c r="E30" s="137"/>
      <c r="F30" s="134"/>
      <c r="G30" s="134"/>
      <c r="H30" s="134"/>
      <c r="I30" s="134"/>
      <c r="J30" s="134"/>
      <c r="K30" s="134"/>
      <c r="L30" s="134" t="s">
        <v>246</v>
      </c>
      <c r="M30" s="151"/>
      <c r="N30" s="3"/>
      <c r="O30" s="3"/>
      <c r="P30" s="3"/>
      <c r="Q30" s="3"/>
      <c r="R30" s="3"/>
      <c r="S30" s="3"/>
      <c r="T30" s="3"/>
      <c r="U30" s="3"/>
      <c r="V30" s="3"/>
      <c r="W30" s="3"/>
    </row>
    <row r="31" spans="2:23" ht="15.75">
      <c r="B31" s="134"/>
      <c r="C31" s="134" t="s">
        <v>35</v>
      </c>
      <c r="D31" s="134">
        <f>D13*1*10^-6</f>
        <v>0</v>
      </c>
      <c r="E31" s="137"/>
      <c r="F31" s="134"/>
      <c r="G31" s="134"/>
      <c r="H31" s="134"/>
      <c r="I31" s="134"/>
      <c r="J31" s="134"/>
      <c r="K31" s="134"/>
      <c r="L31" s="134" t="s">
        <v>246</v>
      </c>
      <c r="M31" s="151"/>
      <c r="N31" s="3"/>
      <c r="O31" s="3"/>
      <c r="P31" s="3"/>
      <c r="Q31" s="3"/>
      <c r="R31" s="3"/>
      <c r="S31" s="3"/>
      <c r="T31" s="3"/>
      <c r="U31" s="3"/>
      <c r="V31" s="3"/>
      <c r="W31" s="3"/>
    </row>
    <row r="32" spans="2:23" ht="15.75">
      <c r="B32" s="134"/>
      <c r="C32" s="134"/>
      <c r="D32" s="134"/>
      <c r="E32" s="139"/>
      <c r="F32" s="134"/>
      <c r="G32" s="134"/>
      <c r="H32" s="134"/>
      <c r="I32" s="134"/>
      <c r="J32" s="134"/>
      <c r="K32" s="134"/>
      <c r="L32" s="134"/>
      <c r="M32" s="151"/>
      <c r="N32" s="3"/>
      <c r="O32" s="3"/>
      <c r="P32" s="3"/>
      <c r="Q32" s="3"/>
      <c r="R32" s="3"/>
      <c r="S32" s="3"/>
      <c r="T32" s="3"/>
      <c r="U32" s="3"/>
      <c r="V32" s="3"/>
      <c r="W32" s="3"/>
    </row>
    <row r="33" spans="2:23" ht="15.75">
      <c r="B33" s="162" t="s">
        <v>247</v>
      </c>
      <c r="C33" s="134"/>
      <c r="D33" s="162" t="s">
        <v>248</v>
      </c>
      <c r="E33" s="139"/>
      <c r="F33" s="134"/>
      <c r="G33" s="134"/>
      <c r="H33" s="134"/>
      <c r="I33" s="134"/>
      <c r="J33" s="134"/>
      <c r="K33" s="134"/>
      <c r="L33" s="134"/>
      <c r="M33" s="151" t="s">
        <v>249</v>
      </c>
      <c r="N33" s="3"/>
      <c r="O33" s="3"/>
      <c r="P33" s="3"/>
      <c r="Q33" s="3"/>
      <c r="R33" s="3"/>
      <c r="S33" s="3"/>
      <c r="T33" s="3"/>
      <c r="U33" s="3"/>
      <c r="V33" s="3"/>
      <c r="W33" s="3"/>
    </row>
    <row r="34" spans="2:23" ht="16.5" thickBot="1">
      <c r="B34" s="134"/>
      <c r="C34" s="134"/>
      <c r="D34" s="137" t="s">
        <v>250</v>
      </c>
      <c r="E34" s="137"/>
      <c r="F34" s="137"/>
      <c r="G34" s="137"/>
      <c r="H34" s="137"/>
      <c r="I34" s="137"/>
      <c r="J34" s="137"/>
      <c r="K34" s="137"/>
      <c r="L34" s="137" t="s">
        <v>251</v>
      </c>
      <c r="M34" s="151" t="s">
        <v>252</v>
      </c>
      <c r="N34" s="3"/>
      <c r="O34" s="3"/>
      <c r="P34" s="3"/>
      <c r="Q34" s="3"/>
      <c r="R34" s="3"/>
      <c r="S34" s="3"/>
      <c r="T34" s="3"/>
      <c r="U34" s="3"/>
      <c r="V34" s="3"/>
      <c r="W34" s="3"/>
    </row>
    <row r="35" spans="2:23" ht="16.5" thickBot="1">
      <c r="B35" s="164" t="s">
        <v>253</v>
      </c>
      <c r="C35" s="165" t="s">
        <v>9</v>
      </c>
      <c r="D35" s="134"/>
      <c r="E35" s="172" t="s">
        <v>245</v>
      </c>
      <c r="F35" s="173" t="s">
        <v>32</v>
      </c>
      <c r="G35" s="173"/>
      <c r="H35" s="173">
        <f>D23*0.003*$C$17</f>
        <v>0</v>
      </c>
      <c r="I35" s="191"/>
      <c r="J35" s="134"/>
      <c r="K35" s="134"/>
      <c r="L35" s="134" t="s">
        <v>261</v>
      </c>
      <c r="M35" s="151"/>
      <c r="N35" s="3"/>
      <c r="O35" s="3"/>
      <c r="P35" s="3"/>
      <c r="Q35" s="3"/>
      <c r="R35" s="3"/>
      <c r="S35" s="3"/>
      <c r="T35" s="3"/>
      <c r="U35" s="3"/>
      <c r="V35" s="3"/>
      <c r="W35" s="3"/>
    </row>
    <row r="36" spans="2:23" ht="15.75">
      <c r="B36" s="166" t="s">
        <v>254</v>
      </c>
      <c r="C36" s="167">
        <v>0.004</v>
      </c>
      <c r="D36" s="134"/>
      <c r="E36" s="176"/>
      <c r="F36" s="134" t="s">
        <v>33</v>
      </c>
      <c r="G36" s="134"/>
      <c r="H36" s="134">
        <f>D24*0.003*$C$17</f>
        <v>0</v>
      </c>
      <c r="I36" s="161"/>
      <c r="J36" s="134"/>
      <c r="K36" s="134"/>
      <c r="L36" s="134" t="s">
        <v>261</v>
      </c>
      <c r="M36" s="151"/>
      <c r="N36" s="3"/>
      <c r="O36" s="3"/>
      <c r="P36" s="3"/>
      <c r="Q36" s="3"/>
      <c r="R36" s="3"/>
      <c r="S36" s="3"/>
      <c r="T36" s="3"/>
      <c r="U36" s="3"/>
      <c r="V36" s="3"/>
      <c r="W36" s="3"/>
    </row>
    <row r="37" spans="2:23" ht="15.75">
      <c r="B37" s="166" t="s">
        <v>255</v>
      </c>
      <c r="C37" s="167">
        <v>0.021</v>
      </c>
      <c r="D37" s="134"/>
      <c r="E37" s="176"/>
      <c r="F37" s="134" t="s">
        <v>34</v>
      </c>
      <c r="G37" s="134"/>
      <c r="H37" s="134">
        <f>D25*0.003*$C$17</f>
        <v>0</v>
      </c>
      <c r="I37" s="161"/>
      <c r="J37" s="134"/>
      <c r="K37" s="134"/>
      <c r="L37" s="134" t="s">
        <v>261</v>
      </c>
      <c r="M37" s="151"/>
      <c r="N37" s="3"/>
      <c r="O37" s="3"/>
      <c r="P37" s="3"/>
      <c r="Q37" s="3"/>
      <c r="R37" s="3"/>
      <c r="S37" s="3"/>
      <c r="T37" s="3"/>
      <c r="U37" s="3"/>
      <c r="V37" s="3"/>
      <c r="W37" s="3"/>
    </row>
    <row r="38" spans="2:23" ht="15.75">
      <c r="B38" s="168" t="s">
        <v>256</v>
      </c>
      <c r="C38" s="169">
        <v>0.004</v>
      </c>
      <c r="D38" s="134"/>
      <c r="E38" s="176"/>
      <c r="F38" s="134" t="s">
        <v>35</v>
      </c>
      <c r="G38" s="134"/>
      <c r="H38" s="134">
        <f>D26*0.003*$C$17</f>
        <v>0</v>
      </c>
      <c r="I38" s="161"/>
      <c r="J38" s="134"/>
      <c r="K38" s="134"/>
      <c r="L38" s="134" t="s">
        <v>261</v>
      </c>
      <c r="M38" s="151"/>
      <c r="N38" s="3"/>
      <c r="O38" s="3"/>
      <c r="P38" s="3"/>
      <c r="Q38" s="3"/>
      <c r="R38" s="3"/>
      <c r="S38" s="3"/>
      <c r="T38" s="3"/>
      <c r="U38" s="3"/>
      <c r="V38" s="3"/>
      <c r="W38" s="3"/>
    </row>
    <row r="39" spans="2:23" ht="15.75">
      <c r="B39" s="168" t="s">
        <v>257</v>
      </c>
      <c r="C39" s="169">
        <v>0.003</v>
      </c>
      <c r="D39" s="134"/>
      <c r="E39" s="176"/>
      <c r="F39" s="134" t="s">
        <v>86</v>
      </c>
      <c r="G39" s="134"/>
      <c r="H39" s="134">
        <f>SUM(H35:H38)</f>
        <v>0</v>
      </c>
      <c r="I39" s="161"/>
      <c r="J39" s="134"/>
      <c r="K39" s="134"/>
      <c r="L39" s="134" t="s">
        <v>263</v>
      </c>
      <c r="M39" s="151"/>
      <c r="N39" s="3"/>
      <c r="O39" s="3"/>
      <c r="P39" s="3"/>
      <c r="Q39" s="3"/>
      <c r="R39" s="3"/>
      <c r="S39" s="3"/>
      <c r="T39" s="3"/>
      <c r="U39" s="3"/>
      <c r="V39" s="3"/>
      <c r="W39" s="3"/>
    </row>
    <row r="40" spans="2:23" ht="15.75">
      <c r="B40" s="166" t="s">
        <v>258</v>
      </c>
      <c r="C40" s="167">
        <v>0.0125</v>
      </c>
      <c r="D40" s="134"/>
      <c r="E40" s="176"/>
      <c r="F40" s="134"/>
      <c r="G40" s="134"/>
      <c r="H40" s="134"/>
      <c r="I40" s="161"/>
      <c r="J40" s="134"/>
      <c r="K40" s="134"/>
      <c r="L40" s="134"/>
      <c r="M40" s="151"/>
      <c r="N40" s="3"/>
      <c r="O40" s="3"/>
      <c r="P40" s="3"/>
      <c r="Q40" s="3"/>
      <c r="R40" s="3"/>
      <c r="S40" s="3"/>
      <c r="T40" s="3"/>
      <c r="U40" s="3"/>
      <c r="V40" s="3"/>
      <c r="W40" s="3"/>
    </row>
    <row r="41" spans="2:23" ht="15.75">
      <c r="B41" s="166" t="s">
        <v>259</v>
      </c>
      <c r="C41" s="167">
        <v>0.005</v>
      </c>
      <c r="D41" s="134"/>
      <c r="E41" s="175" t="s">
        <v>121</v>
      </c>
      <c r="F41" s="134" t="s">
        <v>32</v>
      </c>
      <c r="G41" s="134"/>
      <c r="H41" s="134">
        <f>D28*0.004*$C$17</f>
        <v>0</v>
      </c>
      <c r="I41" s="161"/>
      <c r="J41" s="134"/>
      <c r="K41" s="134"/>
      <c r="L41" s="134" t="s">
        <v>261</v>
      </c>
      <c r="M41" s="151"/>
      <c r="N41" s="3"/>
      <c r="O41" s="3"/>
      <c r="P41" s="3"/>
      <c r="Q41" s="3"/>
      <c r="R41" s="3"/>
      <c r="S41" s="3"/>
      <c r="T41" s="3"/>
      <c r="U41" s="3"/>
      <c r="V41" s="3"/>
      <c r="W41" s="3"/>
    </row>
    <row r="42" spans="2:23" ht="16.5" thickBot="1">
      <c r="B42" s="170" t="s">
        <v>260</v>
      </c>
      <c r="C42" s="171">
        <v>0.021</v>
      </c>
      <c r="D42" s="134"/>
      <c r="E42" s="176"/>
      <c r="F42" s="134" t="s">
        <v>33</v>
      </c>
      <c r="G42" s="134"/>
      <c r="H42" s="134">
        <f>D29*0.004*$C$17</f>
        <v>0</v>
      </c>
      <c r="I42" s="161"/>
      <c r="J42" s="134"/>
      <c r="K42" s="134"/>
      <c r="L42" s="134" t="s">
        <v>261</v>
      </c>
      <c r="M42" s="151"/>
      <c r="N42" s="3"/>
      <c r="O42" s="3"/>
      <c r="P42" s="3"/>
      <c r="Q42" s="3"/>
      <c r="R42" s="3"/>
      <c r="S42" s="3"/>
      <c r="T42" s="3"/>
      <c r="U42" s="3"/>
      <c r="V42" s="3"/>
      <c r="W42" s="3"/>
    </row>
    <row r="43" spans="2:23" ht="15.75">
      <c r="B43" s="134"/>
      <c r="C43" s="134"/>
      <c r="D43" s="134"/>
      <c r="E43" s="176"/>
      <c r="F43" s="134" t="s">
        <v>34</v>
      </c>
      <c r="G43" s="134"/>
      <c r="H43" s="134">
        <f>D30*0.004*$C$17</f>
        <v>0</v>
      </c>
      <c r="I43" s="161"/>
      <c r="J43" s="134"/>
      <c r="K43" s="134"/>
      <c r="L43" s="134" t="s">
        <v>261</v>
      </c>
      <c r="M43" s="151"/>
      <c r="N43" s="3"/>
      <c r="O43" s="3"/>
      <c r="P43" s="3"/>
      <c r="Q43" s="3"/>
      <c r="R43" s="3"/>
      <c r="S43" s="3"/>
      <c r="T43" s="3"/>
      <c r="U43" s="3"/>
      <c r="V43" s="3"/>
      <c r="W43" s="3"/>
    </row>
    <row r="44" spans="2:23" ht="15.75">
      <c r="B44" s="134"/>
      <c r="C44" s="134"/>
      <c r="D44" s="134"/>
      <c r="E44" s="176"/>
      <c r="F44" s="134" t="s">
        <v>35</v>
      </c>
      <c r="G44" s="134"/>
      <c r="H44" s="134">
        <f>D31*0.004*$C$17</f>
        <v>0</v>
      </c>
      <c r="I44" s="161"/>
      <c r="J44" s="134"/>
      <c r="K44" s="134"/>
      <c r="L44" s="134" t="s">
        <v>261</v>
      </c>
      <c r="M44" s="151"/>
      <c r="N44" s="3"/>
      <c r="O44" s="3"/>
      <c r="P44" s="3"/>
      <c r="Q44" s="3"/>
      <c r="R44" s="3"/>
      <c r="S44" s="3"/>
      <c r="T44" s="3"/>
      <c r="U44" s="3"/>
      <c r="V44" s="3"/>
      <c r="W44" s="3"/>
    </row>
    <row r="45" spans="2:23" ht="15.75">
      <c r="B45" s="134"/>
      <c r="C45" s="134"/>
      <c r="D45" s="134"/>
      <c r="E45" s="178"/>
      <c r="F45" s="141" t="s">
        <v>86</v>
      </c>
      <c r="G45" s="141"/>
      <c r="H45" s="141">
        <f>SUM(H41:H44)</f>
        <v>0</v>
      </c>
      <c r="I45" s="196"/>
      <c r="J45" s="134"/>
      <c r="K45" s="134"/>
      <c r="L45" s="134" t="s">
        <v>263</v>
      </c>
      <c r="M45" s="151"/>
      <c r="N45" s="3"/>
      <c r="O45" s="3"/>
      <c r="P45" s="3"/>
      <c r="Q45" s="3"/>
      <c r="R45" s="3"/>
      <c r="S45" s="3"/>
      <c r="T45" s="3"/>
      <c r="U45" s="3"/>
      <c r="V45" s="3"/>
      <c r="W45" s="3"/>
    </row>
    <row r="46" spans="2:23" ht="15.75">
      <c r="B46" s="134"/>
      <c r="C46" s="134"/>
      <c r="D46" s="134"/>
      <c r="E46" s="137"/>
      <c r="F46" s="137"/>
      <c r="G46" s="134"/>
      <c r="H46" s="134"/>
      <c r="I46" s="134"/>
      <c r="J46" s="134"/>
      <c r="K46" s="134"/>
      <c r="L46" s="134"/>
      <c r="M46" s="151"/>
      <c r="N46" s="3"/>
      <c r="O46" s="3"/>
      <c r="P46" s="3"/>
      <c r="Q46" s="3"/>
      <c r="R46" s="3"/>
      <c r="S46" s="3"/>
      <c r="T46" s="3"/>
      <c r="U46" s="3"/>
      <c r="V46" s="3"/>
      <c r="W46" s="3"/>
    </row>
    <row r="47" spans="2:23" ht="15.75">
      <c r="B47" s="162" t="s">
        <v>262</v>
      </c>
      <c r="C47" s="134">
        <f>H39+H45</f>
        <v>0</v>
      </c>
      <c r="D47" s="134"/>
      <c r="E47" s="137"/>
      <c r="F47" s="137"/>
      <c r="G47" s="134"/>
      <c r="H47" s="134"/>
      <c r="I47" s="134"/>
      <c r="J47" s="134"/>
      <c r="K47" s="134"/>
      <c r="L47" s="137" t="s">
        <v>234</v>
      </c>
      <c r="M47" s="151"/>
      <c r="N47" s="3"/>
      <c r="O47" s="3"/>
      <c r="P47" s="3"/>
      <c r="Q47" s="3"/>
      <c r="R47" s="3"/>
      <c r="S47" s="3"/>
      <c r="T47" s="3"/>
      <c r="U47" s="3"/>
      <c r="V47" s="3"/>
      <c r="W47" s="3"/>
    </row>
    <row r="48" spans="2:23" ht="15.75">
      <c r="B48" s="162" t="s">
        <v>262</v>
      </c>
      <c r="C48" s="134">
        <f>C47*310</f>
        <v>0</v>
      </c>
      <c r="D48" s="134"/>
      <c r="E48" s="137"/>
      <c r="F48" s="137"/>
      <c r="G48" s="134"/>
      <c r="H48" s="134"/>
      <c r="I48" s="134"/>
      <c r="J48" s="134"/>
      <c r="K48" s="134"/>
      <c r="L48" s="137" t="s">
        <v>181</v>
      </c>
      <c r="M48" s="151"/>
      <c r="N48" s="3"/>
      <c r="O48" s="3"/>
      <c r="P48" s="3"/>
      <c r="Q48" s="3"/>
      <c r="R48" s="3"/>
      <c r="S48" s="3"/>
      <c r="T48" s="3"/>
      <c r="U48" s="3"/>
      <c r="V48" s="3"/>
      <c r="W48" s="3"/>
    </row>
    <row r="49" spans="2:23" ht="15.75">
      <c r="B49" s="162" t="s">
        <v>262</v>
      </c>
      <c r="C49" s="134">
        <f>C48*10^3</f>
        <v>0</v>
      </c>
      <c r="D49" s="134"/>
      <c r="E49" s="137"/>
      <c r="F49" s="137"/>
      <c r="G49" s="134"/>
      <c r="H49" s="134"/>
      <c r="I49" s="134"/>
      <c r="J49" s="134"/>
      <c r="K49" s="134"/>
      <c r="L49" s="137" t="s">
        <v>182</v>
      </c>
      <c r="M49" s="151"/>
      <c r="N49" s="3"/>
      <c r="O49" s="3"/>
      <c r="P49" s="3"/>
      <c r="Q49" s="3"/>
      <c r="R49" s="3"/>
      <c r="S49" s="3"/>
      <c r="T49" s="3"/>
      <c r="U49" s="3"/>
      <c r="V49" s="3"/>
      <c r="W49" s="3"/>
    </row>
    <row r="50" spans="2:23" ht="15.75">
      <c r="B50" s="134"/>
      <c r="C50" s="134"/>
      <c r="D50" s="134"/>
      <c r="E50" s="137"/>
      <c r="F50" s="137"/>
      <c r="G50" s="134"/>
      <c r="H50" s="134"/>
      <c r="I50" s="134"/>
      <c r="J50" s="134"/>
      <c r="K50" s="134"/>
      <c r="L50" s="134"/>
      <c r="M50" s="151"/>
      <c r="N50" s="3"/>
      <c r="O50" s="3"/>
      <c r="P50" s="3"/>
      <c r="Q50" s="3"/>
      <c r="R50" s="3"/>
      <c r="S50" s="3"/>
      <c r="T50" s="3"/>
      <c r="U50" s="3"/>
      <c r="V50" s="3"/>
      <c r="W50" s="3"/>
    </row>
    <row r="51" spans="2:23" ht="15.75">
      <c r="B51" s="134"/>
      <c r="C51" s="134"/>
      <c r="D51" s="134"/>
      <c r="E51" s="137"/>
      <c r="F51" s="137"/>
      <c r="G51" s="134"/>
      <c r="H51" s="134"/>
      <c r="I51" s="134"/>
      <c r="J51" s="134"/>
      <c r="K51" s="134"/>
      <c r="L51" s="134"/>
      <c r="M51" s="151"/>
      <c r="N51" s="3"/>
      <c r="O51" s="3"/>
      <c r="P51" s="3"/>
      <c r="Q51" s="3"/>
      <c r="R51" s="3"/>
      <c r="S51" s="3"/>
      <c r="T51" s="3"/>
      <c r="U51" s="3"/>
      <c r="V51" s="3"/>
      <c r="W51" s="3"/>
    </row>
    <row r="52" spans="2:23" ht="15.75">
      <c r="B52" s="134"/>
      <c r="C52" s="134"/>
      <c r="D52" s="134"/>
      <c r="E52" s="137"/>
      <c r="F52" s="137"/>
      <c r="G52" s="134"/>
      <c r="H52" s="134"/>
      <c r="I52" s="134"/>
      <c r="J52" s="134"/>
      <c r="K52" s="134"/>
      <c r="L52" s="134"/>
      <c r="M52" s="133"/>
      <c r="N52" s="3"/>
      <c r="O52" s="3"/>
      <c r="P52" s="3"/>
      <c r="Q52" s="3"/>
      <c r="R52" s="3"/>
      <c r="S52" s="3"/>
      <c r="T52" s="3"/>
      <c r="U52" s="3"/>
      <c r="V52" s="3"/>
      <c r="W52" s="3"/>
    </row>
    <row r="53" spans="2:23" ht="15.75">
      <c r="B53" s="172" t="s">
        <v>264</v>
      </c>
      <c r="C53" s="173"/>
      <c r="D53" s="173"/>
      <c r="E53" s="174"/>
      <c r="F53" s="173"/>
      <c r="G53" s="173"/>
      <c r="H53" s="173"/>
      <c r="I53" s="173"/>
      <c r="J53" s="173"/>
      <c r="K53" s="173"/>
      <c r="L53" s="173"/>
      <c r="M53" s="153" t="s">
        <v>315</v>
      </c>
      <c r="N53" s="50"/>
      <c r="O53" s="50"/>
      <c r="P53" s="50"/>
      <c r="Q53" s="50"/>
      <c r="R53" s="3"/>
      <c r="S53" s="3"/>
      <c r="T53" s="3"/>
      <c r="U53" s="3"/>
      <c r="V53" s="3"/>
      <c r="W53" s="3"/>
    </row>
    <row r="54" spans="2:23" ht="15.75">
      <c r="B54" s="175" t="s">
        <v>265</v>
      </c>
      <c r="C54" s="134"/>
      <c r="D54" s="140" t="s">
        <v>318</v>
      </c>
      <c r="E54" s="134"/>
      <c r="F54" s="134"/>
      <c r="G54" s="134"/>
      <c r="H54" s="134"/>
      <c r="I54" s="134"/>
      <c r="J54" s="134"/>
      <c r="K54" s="134"/>
      <c r="L54" s="134"/>
      <c r="M54" s="154"/>
      <c r="N54" s="50"/>
      <c r="O54" s="50"/>
      <c r="P54" s="50"/>
      <c r="Q54" s="50"/>
      <c r="R54" s="3"/>
      <c r="S54" s="3"/>
      <c r="T54" s="3"/>
      <c r="U54" s="3"/>
      <c r="V54" s="3"/>
      <c r="W54" s="3"/>
    </row>
    <row r="55" spans="2:23" ht="15.75">
      <c r="B55" s="176"/>
      <c r="C55" s="177"/>
      <c r="D55" s="134" t="s">
        <v>319</v>
      </c>
      <c r="E55" s="134"/>
      <c r="F55" s="134">
        <f>0</f>
        <v>0</v>
      </c>
      <c r="G55" s="134"/>
      <c r="H55" s="134"/>
      <c r="I55" s="134"/>
      <c r="J55" s="134"/>
      <c r="K55" s="134"/>
      <c r="L55" s="134"/>
      <c r="M55" s="155"/>
      <c r="N55" s="51"/>
      <c r="O55" s="51"/>
      <c r="P55" s="51"/>
      <c r="Q55" s="51"/>
      <c r="R55" s="3"/>
      <c r="S55" s="129"/>
      <c r="T55" s="3"/>
      <c r="U55" s="3"/>
      <c r="V55" s="3"/>
      <c r="W55" s="3"/>
    </row>
    <row r="56" spans="2:23" ht="15.75">
      <c r="B56" s="176"/>
      <c r="C56" s="177"/>
      <c r="D56" s="134"/>
      <c r="E56" s="134"/>
      <c r="F56" s="134"/>
      <c r="G56" s="134"/>
      <c r="H56" s="134"/>
      <c r="I56" s="134"/>
      <c r="J56" s="134"/>
      <c r="K56" s="134"/>
      <c r="L56" s="134"/>
      <c r="M56" s="155"/>
      <c r="N56" s="50"/>
      <c r="O56" s="50"/>
      <c r="P56" s="50"/>
      <c r="Q56" s="50"/>
      <c r="R56" s="3"/>
      <c r="S56" s="3"/>
      <c r="T56" s="3"/>
      <c r="U56" s="3"/>
      <c r="V56" s="3"/>
      <c r="W56" s="3"/>
    </row>
    <row r="57" spans="2:23" ht="15.75">
      <c r="B57" s="178" t="s">
        <v>266</v>
      </c>
      <c r="C57" s="179"/>
      <c r="D57" s="180" t="s">
        <v>267</v>
      </c>
      <c r="E57" s="141"/>
      <c r="F57" s="141">
        <f>0</f>
        <v>0</v>
      </c>
      <c r="G57" s="141"/>
      <c r="H57" s="141"/>
      <c r="I57" s="141"/>
      <c r="J57" s="141"/>
      <c r="K57" s="141"/>
      <c r="L57" s="141"/>
      <c r="M57" s="156" t="s">
        <v>268</v>
      </c>
      <c r="N57" s="3"/>
      <c r="O57" s="3"/>
      <c r="P57" s="3"/>
      <c r="Q57" s="3"/>
      <c r="R57" s="3"/>
      <c r="S57" s="3"/>
      <c r="T57" s="3"/>
      <c r="U57" s="3"/>
      <c r="V57" s="3"/>
      <c r="W57" s="3"/>
    </row>
    <row r="58" spans="2:23" ht="15.75">
      <c r="B58" s="137"/>
      <c r="C58" s="137"/>
      <c r="D58" s="137"/>
      <c r="E58" s="137"/>
      <c r="F58" s="137"/>
      <c r="G58" s="137"/>
      <c r="H58" s="137"/>
      <c r="I58" s="137"/>
      <c r="J58" s="137"/>
      <c r="K58" s="137"/>
      <c r="L58" s="137"/>
      <c r="M58" s="151"/>
      <c r="N58" s="3"/>
      <c r="O58" s="3"/>
      <c r="P58" s="3"/>
      <c r="Q58" s="3"/>
      <c r="R58" s="3"/>
      <c r="S58" s="3"/>
      <c r="T58" s="3"/>
      <c r="U58" s="3"/>
      <c r="V58" s="3"/>
      <c r="W58" s="3"/>
    </row>
    <row r="59" spans="2:23" ht="15.75">
      <c r="B59" s="137"/>
      <c r="C59" s="181"/>
      <c r="D59" s="137"/>
      <c r="E59" s="137"/>
      <c r="F59" s="137"/>
      <c r="G59" s="137"/>
      <c r="H59" s="137"/>
      <c r="I59" s="137"/>
      <c r="J59" s="137"/>
      <c r="K59" s="137"/>
      <c r="L59" s="137"/>
      <c r="M59" s="151"/>
      <c r="N59" s="3"/>
      <c r="O59" s="3"/>
      <c r="P59" s="3"/>
      <c r="Q59" s="3"/>
      <c r="R59" s="3"/>
      <c r="S59" s="3"/>
      <c r="T59" s="3"/>
      <c r="U59" s="3"/>
      <c r="V59" s="3"/>
      <c r="W59" s="3"/>
    </row>
    <row r="60" spans="2:23" ht="15.75">
      <c r="B60" s="162" t="s">
        <v>269</v>
      </c>
      <c r="C60" s="137"/>
      <c r="D60" s="162" t="s">
        <v>270</v>
      </c>
      <c r="E60" s="137"/>
      <c r="F60" s="137"/>
      <c r="G60" s="137"/>
      <c r="H60" s="137"/>
      <c r="I60" s="137"/>
      <c r="J60" s="137"/>
      <c r="K60" s="137"/>
      <c r="L60" s="137"/>
      <c r="M60" s="143" t="s">
        <v>271</v>
      </c>
      <c r="N60" s="3"/>
      <c r="O60" s="3"/>
      <c r="P60" s="3"/>
      <c r="Q60" s="3"/>
      <c r="R60" s="3"/>
      <c r="S60" s="3"/>
      <c r="T60" s="3"/>
      <c r="U60" s="3"/>
      <c r="V60" s="3"/>
      <c r="W60" s="3"/>
    </row>
    <row r="61" spans="2:23" ht="15.75">
      <c r="B61" s="137"/>
      <c r="C61" s="137"/>
      <c r="D61" s="137" t="s">
        <v>272</v>
      </c>
      <c r="E61" s="137"/>
      <c r="F61" s="137"/>
      <c r="G61" s="137"/>
      <c r="H61" s="137"/>
      <c r="I61" s="137"/>
      <c r="J61" s="137"/>
      <c r="K61" s="137"/>
      <c r="L61" s="182" t="s">
        <v>273</v>
      </c>
      <c r="M61" s="144" t="s">
        <v>274</v>
      </c>
      <c r="N61" s="57"/>
      <c r="O61" s="3"/>
      <c r="P61" s="3"/>
      <c r="Q61" s="3"/>
      <c r="R61" s="3"/>
      <c r="S61" s="3"/>
      <c r="T61" s="3"/>
      <c r="U61" s="3"/>
      <c r="V61" s="3"/>
      <c r="W61" s="3"/>
    </row>
    <row r="62" spans="2:23" ht="15.75">
      <c r="B62" s="137"/>
      <c r="C62" s="137"/>
      <c r="D62" s="137" t="s">
        <v>275</v>
      </c>
      <c r="E62" s="137"/>
      <c r="F62" s="137"/>
      <c r="G62" s="137"/>
      <c r="H62" s="137"/>
      <c r="I62" s="137"/>
      <c r="J62" s="137"/>
      <c r="K62" s="137"/>
      <c r="L62" s="182" t="s">
        <v>276</v>
      </c>
      <c r="M62" s="143"/>
      <c r="N62" s="3"/>
      <c r="O62" s="3"/>
      <c r="P62" s="3"/>
      <c r="Q62" s="3"/>
      <c r="R62" s="3"/>
      <c r="S62" s="3"/>
      <c r="T62" s="3"/>
      <c r="U62" s="3"/>
      <c r="V62" s="3"/>
      <c r="W62" s="3"/>
    </row>
    <row r="63" spans="2:23" ht="15.75">
      <c r="B63" s="137"/>
      <c r="C63" s="137"/>
      <c r="D63" s="137" t="s">
        <v>277</v>
      </c>
      <c r="E63" s="137"/>
      <c r="F63" s="137"/>
      <c r="G63" s="137"/>
      <c r="H63" s="137"/>
      <c r="I63" s="137"/>
      <c r="J63" s="137"/>
      <c r="K63" s="137"/>
      <c r="L63" s="137" t="s">
        <v>278</v>
      </c>
      <c r="M63" s="143"/>
      <c r="N63" s="54"/>
      <c r="O63" s="3"/>
      <c r="P63" s="3"/>
      <c r="Q63" s="3"/>
      <c r="R63" s="3"/>
      <c r="S63" s="3"/>
      <c r="T63" s="3"/>
      <c r="U63" s="3"/>
      <c r="V63" s="3"/>
      <c r="W63" s="3"/>
    </row>
    <row r="64" spans="2:23" ht="15.75">
      <c r="B64" s="137"/>
      <c r="C64" s="137"/>
      <c r="D64" s="137" t="s">
        <v>279</v>
      </c>
      <c r="E64" s="137"/>
      <c r="F64" s="137"/>
      <c r="G64" s="137"/>
      <c r="H64" s="137"/>
      <c r="I64" s="137"/>
      <c r="J64" s="137"/>
      <c r="K64" s="137"/>
      <c r="L64" s="137" t="s">
        <v>280</v>
      </c>
      <c r="M64" s="143"/>
      <c r="U64" s="3"/>
      <c r="V64" s="3"/>
      <c r="W64" s="3"/>
    </row>
    <row r="65" spans="2:23" ht="15.75">
      <c r="B65" s="137"/>
      <c r="C65" s="137"/>
      <c r="D65" s="137" t="s">
        <v>281</v>
      </c>
      <c r="E65" s="137"/>
      <c r="F65" s="137"/>
      <c r="G65" s="137"/>
      <c r="H65" s="137"/>
      <c r="I65" s="137"/>
      <c r="J65" s="137"/>
      <c r="K65" s="137"/>
      <c r="L65" s="137"/>
      <c r="M65" s="143"/>
      <c r="U65" s="3"/>
      <c r="V65" s="3"/>
      <c r="W65" s="3"/>
    </row>
    <row r="66" spans="2:23" ht="15.75">
      <c r="B66" s="137"/>
      <c r="C66" s="137"/>
      <c r="D66" s="137" t="s">
        <v>282</v>
      </c>
      <c r="E66" s="137"/>
      <c r="F66" s="137"/>
      <c r="G66" s="137"/>
      <c r="H66" s="137"/>
      <c r="I66" s="137"/>
      <c r="J66" s="137"/>
      <c r="K66" s="137"/>
      <c r="L66" s="137"/>
      <c r="M66" s="143"/>
      <c r="U66" s="3"/>
      <c r="V66" s="3"/>
      <c r="W66" s="3"/>
    </row>
    <row r="67" spans="2:23" ht="15.75">
      <c r="B67" s="137"/>
      <c r="C67" s="137"/>
      <c r="D67" s="137"/>
      <c r="E67" s="137"/>
      <c r="F67" s="137"/>
      <c r="G67" s="137"/>
      <c r="H67" s="137"/>
      <c r="I67" s="137"/>
      <c r="J67" s="137"/>
      <c r="K67" s="137"/>
      <c r="L67" s="137"/>
      <c r="M67" s="143"/>
      <c r="U67" s="3"/>
      <c r="V67" s="3"/>
      <c r="W67" s="3"/>
    </row>
    <row r="68" spans="2:23" ht="15.75">
      <c r="B68" s="162" t="s">
        <v>283</v>
      </c>
      <c r="C68" s="137"/>
      <c r="D68" s="162" t="s">
        <v>284</v>
      </c>
      <c r="E68" s="137"/>
      <c r="F68" s="137"/>
      <c r="G68" s="137"/>
      <c r="H68" s="137"/>
      <c r="I68" s="137"/>
      <c r="J68" s="137"/>
      <c r="K68" s="137"/>
      <c r="L68" s="137" t="s">
        <v>285</v>
      </c>
      <c r="M68" s="143" t="s">
        <v>286</v>
      </c>
      <c r="U68" s="3"/>
      <c r="V68" s="3"/>
      <c r="W68" s="3"/>
    </row>
    <row r="69" spans="2:23" ht="15.75">
      <c r="B69" s="137"/>
      <c r="C69" s="137"/>
      <c r="D69" s="137" t="s">
        <v>287</v>
      </c>
      <c r="E69" s="137"/>
      <c r="F69" s="137"/>
      <c r="G69" s="137"/>
      <c r="H69" s="137"/>
      <c r="I69" s="137"/>
      <c r="J69" s="137"/>
      <c r="K69" s="137"/>
      <c r="L69" s="137" t="s">
        <v>251</v>
      </c>
      <c r="M69" s="144" t="s">
        <v>274</v>
      </c>
      <c r="U69" s="3"/>
      <c r="V69" s="3"/>
      <c r="W69" s="3"/>
    </row>
    <row r="70" spans="2:23" ht="15.75">
      <c r="B70" s="137"/>
      <c r="C70" s="137"/>
      <c r="D70" s="137"/>
      <c r="E70" s="137"/>
      <c r="F70" s="137"/>
      <c r="G70" s="137"/>
      <c r="H70" s="137"/>
      <c r="I70" s="137"/>
      <c r="J70" s="137"/>
      <c r="K70" s="137"/>
      <c r="L70" s="137"/>
      <c r="M70" s="143"/>
      <c r="U70" s="3"/>
      <c r="V70" s="3"/>
      <c r="W70" s="3"/>
    </row>
    <row r="71" spans="2:23" ht="15.75">
      <c r="B71" s="137"/>
      <c r="C71" s="137"/>
      <c r="D71" s="137"/>
      <c r="E71" s="137"/>
      <c r="F71" s="137"/>
      <c r="G71" s="137"/>
      <c r="H71" s="137"/>
      <c r="I71" s="137"/>
      <c r="J71" s="137"/>
      <c r="K71" s="137"/>
      <c r="L71" s="137"/>
      <c r="M71" s="143"/>
      <c r="U71" s="3"/>
      <c r="V71" s="3"/>
      <c r="W71" s="3"/>
    </row>
    <row r="72" spans="2:23" ht="15.75">
      <c r="B72" s="162" t="s">
        <v>288</v>
      </c>
      <c r="C72" s="137"/>
      <c r="D72" s="137"/>
      <c r="E72" s="137"/>
      <c r="F72" s="137"/>
      <c r="G72" s="137"/>
      <c r="H72" s="137"/>
      <c r="I72" s="137"/>
      <c r="J72" s="137"/>
      <c r="K72" s="137"/>
      <c r="L72" s="137"/>
      <c r="M72" s="143"/>
      <c r="U72" s="3"/>
      <c r="V72" s="3"/>
      <c r="W72" s="3"/>
    </row>
    <row r="73" spans="2:23" ht="15.75">
      <c r="B73" s="162" t="s">
        <v>289</v>
      </c>
      <c r="C73" s="137"/>
      <c r="D73" s="162" t="s">
        <v>290</v>
      </c>
      <c r="E73" s="137"/>
      <c r="F73" s="137"/>
      <c r="G73" s="137"/>
      <c r="H73" s="137"/>
      <c r="I73" s="137"/>
      <c r="J73" s="137"/>
      <c r="K73" s="137"/>
      <c r="L73" s="137"/>
      <c r="M73" s="143" t="s">
        <v>291</v>
      </c>
      <c r="U73" s="3"/>
      <c r="V73" s="3"/>
      <c r="W73" s="3"/>
    </row>
    <row r="74" spans="2:23" ht="15.75">
      <c r="B74" s="137"/>
      <c r="C74" s="137"/>
      <c r="D74" s="137" t="s">
        <v>292</v>
      </c>
      <c r="E74" s="137"/>
      <c r="F74" s="137"/>
      <c r="G74" s="137"/>
      <c r="H74" s="137"/>
      <c r="I74" s="137"/>
      <c r="J74" s="137"/>
      <c r="K74" s="137"/>
      <c r="L74" s="137"/>
      <c r="M74" s="144" t="s">
        <v>274</v>
      </c>
      <c r="U74" s="3"/>
      <c r="V74" s="3"/>
      <c r="W74" s="3"/>
    </row>
    <row r="75" spans="2:23" ht="15.75">
      <c r="B75" s="137"/>
      <c r="C75" s="137"/>
      <c r="D75" s="137" t="s">
        <v>293</v>
      </c>
      <c r="E75" s="137"/>
      <c r="F75" s="137"/>
      <c r="G75" s="137"/>
      <c r="H75" s="137"/>
      <c r="I75" s="137"/>
      <c r="J75" s="137"/>
      <c r="K75" s="137"/>
      <c r="L75" s="137"/>
      <c r="M75" s="143"/>
      <c r="U75" s="3"/>
      <c r="V75" s="3"/>
      <c r="W75" s="3"/>
    </row>
    <row r="76" spans="2:23" ht="15.75">
      <c r="B76" s="137"/>
      <c r="C76" s="137"/>
      <c r="D76" s="137" t="s">
        <v>294</v>
      </c>
      <c r="E76" s="137"/>
      <c r="F76" s="137"/>
      <c r="G76" s="137"/>
      <c r="H76" s="137"/>
      <c r="I76" s="137"/>
      <c r="J76" s="137"/>
      <c r="K76" s="137"/>
      <c r="L76" s="137"/>
      <c r="M76" s="143"/>
      <c r="U76" s="3"/>
      <c r="V76" s="3"/>
      <c r="W76" s="3"/>
    </row>
    <row r="77" spans="2:23" ht="15.75">
      <c r="B77" s="137"/>
      <c r="C77" s="137"/>
      <c r="D77" s="137"/>
      <c r="E77" s="137"/>
      <c r="F77" s="137"/>
      <c r="G77" s="137"/>
      <c r="H77" s="137"/>
      <c r="I77" s="137"/>
      <c r="J77" s="137"/>
      <c r="K77" s="137"/>
      <c r="L77" s="137"/>
      <c r="M77" s="143"/>
      <c r="U77" s="3"/>
      <c r="V77" s="3"/>
      <c r="W77" s="3"/>
    </row>
    <row r="78" spans="2:23" ht="15.75">
      <c r="B78" s="162" t="s">
        <v>295</v>
      </c>
      <c r="C78" s="137"/>
      <c r="D78" s="162" t="s">
        <v>284</v>
      </c>
      <c r="E78" s="137"/>
      <c r="F78" s="137"/>
      <c r="G78" s="137"/>
      <c r="H78" s="137"/>
      <c r="I78" s="137"/>
      <c r="J78" s="137"/>
      <c r="K78" s="137"/>
      <c r="L78" s="137" t="s">
        <v>285</v>
      </c>
      <c r="M78" s="143" t="s">
        <v>296</v>
      </c>
      <c r="U78" s="3"/>
      <c r="V78" s="3"/>
      <c r="W78" s="3"/>
    </row>
    <row r="79" spans="2:23" ht="15.75">
      <c r="B79" s="137"/>
      <c r="C79" s="137"/>
      <c r="D79" s="137" t="s">
        <v>287</v>
      </c>
      <c r="E79" s="137"/>
      <c r="F79" s="137"/>
      <c r="G79" s="137"/>
      <c r="H79" s="137"/>
      <c r="I79" s="137"/>
      <c r="J79" s="137"/>
      <c r="K79" s="137"/>
      <c r="L79" s="137" t="s">
        <v>251</v>
      </c>
      <c r="M79" s="144" t="s">
        <v>274</v>
      </c>
      <c r="U79" s="3"/>
      <c r="V79" s="3"/>
      <c r="W79" s="3"/>
    </row>
    <row r="80" spans="2:23" ht="15.75">
      <c r="B80" s="137"/>
      <c r="C80" s="137"/>
      <c r="D80" s="137"/>
      <c r="E80" s="137"/>
      <c r="F80" s="137"/>
      <c r="G80" s="137"/>
      <c r="H80" s="137"/>
      <c r="I80" s="137"/>
      <c r="J80" s="137"/>
      <c r="K80" s="137"/>
      <c r="L80" s="137"/>
      <c r="M80" s="143"/>
      <c r="U80" s="3"/>
      <c r="V80" s="3"/>
      <c r="W80" s="3"/>
    </row>
    <row r="81" spans="2:23" ht="15.75">
      <c r="B81" s="137"/>
      <c r="C81" s="137"/>
      <c r="D81" s="137"/>
      <c r="E81" s="137"/>
      <c r="F81" s="137"/>
      <c r="G81" s="137"/>
      <c r="H81" s="137"/>
      <c r="I81" s="137"/>
      <c r="J81" s="137"/>
      <c r="K81" s="137"/>
      <c r="L81" s="137"/>
      <c r="M81" s="143"/>
      <c r="U81" s="3"/>
      <c r="V81" s="3"/>
      <c r="W81" s="3"/>
    </row>
    <row r="82" spans="2:23" ht="15.75">
      <c r="B82" s="137"/>
      <c r="C82" s="137"/>
      <c r="D82" s="137"/>
      <c r="E82" s="137"/>
      <c r="F82" s="137"/>
      <c r="G82" s="137"/>
      <c r="H82" s="137"/>
      <c r="I82" s="137"/>
      <c r="J82" s="137"/>
      <c r="K82" s="137"/>
      <c r="L82" s="137"/>
      <c r="M82" s="143"/>
      <c r="U82" s="3"/>
      <c r="V82" s="3"/>
      <c r="W82" s="3"/>
    </row>
    <row r="83" spans="2:23" ht="15.75">
      <c r="B83" s="162" t="s">
        <v>297</v>
      </c>
      <c r="C83" s="137"/>
      <c r="D83" s="162" t="s">
        <v>298</v>
      </c>
      <c r="E83" s="137"/>
      <c r="F83" s="137"/>
      <c r="G83" s="137"/>
      <c r="H83" s="137"/>
      <c r="I83" s="137"/>
      <c r="J83" s="137"/>
      <c r="K83" s="137"/>
      <c r="L83" s="137" t="s">
        <v>285</v>
      </c>
      <c r="M83" s="143" t="s">
        <v>299</v>
      </c>
      <c r="U83" s="3"/>
      <c r="V83" s="3"/>
      <c r="W83" s="3"/>
    </row>
    <row r="84" spans="2:23" ht="15.75">
      <c r="B84" s="137"/>
      <c r="C84" s="137"/>
      <c r="D84" s="137" t="s">
        <v>300</v>
      </c>
      <c r="E84" s="137"/>
      <c r="F84" s="137"/>
      <c r="G84" s="137"/>
      <c r="H84" s="137"/>
      <c r="I84" s="137"/>
      <c r="J84" s="137"/>
      <c r="K84" s="137"/>
      <c r="L84" s="137" t="s">
        <v>23</v>
      </c>
      <c r="M84" s="144" t="s">
        <v>274</v>
      </c>
      <c r="U84" s="3"/>
      <c r="V84" s="3"/>
      <c r="W84" s="3"/>
    </row>
    <row r="85" spans="2:23" ht="15.75">
      <c r="B85" s="137"/>
      <c r="C85" s="137"/>
      <c r="D85" s="137" t="s">
        <v>301</v>
      </c>
      <c r="E85" s="137"/>
      <c r="F85" s="137"/>
      <c r="G85" s="137"/>
      <c r="H85" s="137"/>
      <c r="I85" s="137"/>
      <c r="J85" s="137"/>
      <c r="K85" s="137"/>
      <c r="L85" s="137" t="s">
        <v>302</v>
      </c>
      <c r="M85" s="143"/>
      <c r="U85" s="3"/>
      <c r="V85" s="3"/>
      <c r="W85" s="3"/>
    </row>
    <row r="86" spans="2:23" ht="15.75">
      <c r="B86" s="137"/>
      <c r="C86" s="162"/>
      <c r="D86" s="137"/>
      <c r="E86" s="137"/>
      <c r="F86" s="137"/>
      <c r="G86" s="137"/>
      <c r="H86" s="137"/>
      <c r="I86" s="137"/>
      <c r="J86" s="137"/>
      <c r="K86" s="137"/>
      <c r="L86" s="137"/>
      <c r="M86" s="143"/>
      <c r="U86" s="3"/>
      <c r="V86" s="3"/>
      <c r="W86" s="3"/>
    </row>
    <row r="87" spans="2:23" ht="15.75">
      <c r="B87" s="137"/>
      <c r="C87" s="134"/>
      <c r="D87" s="134"/>
      <c r="E87" s="183"/>
      <c r="F87" s="182"/>
      <c r="G87" s="137"/>
      <c r="H87" s="137"/>
      <c r="I87" s="137"/>
      <c r="J87" s="137"/>
      <c r="K87" s="137"/>
      <c r="L87" s="137"/>
      <c r="M87" s="143"/>
      <c r="U87" s="3"/>
      <c r="V87" s="3"/>
      <c r="W87" s="3"/>
    </row>
    <row r="88" spans="2:23" ht="15.75">
      <c r="B88" s="137"/>
      <c r="C88" s="137"/>
      <c r="D88" s="137"/>
      <c r="E88" s="137"/>
      <c r="F88" s="137"/>
      <c r="G88" s="137"/>
      <c r="H88" s="137"/>
      <c r="I88" s="137"/>
      <c r="J88" s="137"/>
      <c r="K88" s="137"/>
      <c r="L88" s="137"/>
      <c r="M88" s="143"/>
      <c r="U88" s="3"/>
      <c r="V88" s="3"/>
      <c r="W88" s="3"/>
    </row>
    <row r="89" spans="2:13" ht="15.75">
      <c r="B89" s="162" t="s">
        <v>303</v>
      </c>
      <c r="C89" s="137"/>
      <c r="D89" s="137"/>
      <c r="E89" s="137"/>
      <c r="F89" s="137"/>
      <c r="G89" s="137"/>
      <c r="H89" s="137"/>
      <c r="I89" s="137"/>
      <c r="J89" s="137"/>
      <c r="K89" s="137"/>
      <c r="L89" s="137"/>
      <c r="M89" s="143"/>
    </row>
    <row r="90" spans="2:13" ht="15.75">
      <c r="B90" s="162" t="s">
        <v>304</v>
      </c>
      <c r="C90" s="137"/>
      <c r="D90" s="137"/>
      <c r="E90" s="137"/>
      <c r="F90" s="137"/>
      <c r="G90" s="137"/>
      <c r="H90" s="137"/>
      <c r="I90" s="137"/>
      <c r="J90" s="137"/>
      <c r="K90" s="137"/>
      <c r="L90" s="137"/>
      <c r="M90" s="143" t="s">
        <v>305</v>
      </c>
    </row>
    <row r="91" spans="2:13" ht="15.75">
      <c r="B91" s="137"/>
      <c r="C91" s="137"/>
      <c r="D91" s="162" t="s">
        <v>306</v>
      </c>
      <c r="E91" s="137"/>
      <c r="F91" s="137"/>
      <c r="G91" s="137"/>
      <c r="H91" s="137"/>
      <c r="I91" s="137"/>
      <c r="J91" s="137"/>
      <c r="K91" s="137"/>
      <c r="L91" s="137"/>
      <c r="M91" s="143" t="s">
        <v>307</v>
      </c>
    </row>
    <row r="92" spans="2:29" ht="15.75">
      <c r="B92" s="137"/>
      <c r="C92" s="137"/>
      <c r="D92" s="326" t="str">
        <f>'Data input'!D3</f>
        <v>Bulls&gt;1</v>
      </c>
      <c r="E92" s="326" t="str">
        <f>'Data input'!E3</f>
        <v>Steers 1 to 2</v>
      </c>
      <c r="F92" s="326" t="str">
        <f>'Data input'!F3</f>
        <v>Weaners&lt;1</v>
      </c>
      <c r="G92" s="326" t="str">
        <f>'Data input'!G3</f>
        <v>Cows 1 to 2</v>
      </c>
      <c r="H92" s="326" t="str">
        <f>'Data input'!H3</f>
        <v>Cows&gt;3</v>
      </c>
      <c r="I92" s="326" t="str">
        <f>'Data input'!I3</f>
        <v>Cows&gt;2</v>
      </c>
      <c r="J92" s="326" t="str">
        <f>'Data input'!J3</f>
        <v>Steers 2 to 3</v>
      </c>
      <c r="K92" s="326" t="str">
        <f>'Data input'!K3</f>
        <v>Steers&gt;3</v>
      </c>
      <c r="L92" s="137"/>
      <c r="M92" s="133"/>
      <c r="O92" s="37"/>
      <c r="P92" s="37"/>
      <c r="Q92" s="37"/>
      <c r="R92" s="37"/>
      <c r="S92" s="37"/>
      <c r="T92" s="37"/>
      <c r="U92" s="37"/>
      <c r="V92" s="37"/>
      <c r="W92" s="37"/>
      <c r="X92" s="37"/>
      <c r="Y92" s="37"/>
      <c r="Z92" s="37"/>
      <c r="AA92" s="37"/>
      <c r="AB92" s="37"/>
      <c r="AC92" s="37"/>
    </row>
    <row r="93" spans="2:29" ht="15.75">
      <c r="B93" s="162"/>
      <c r="C93" s="188" t="s">
        <v>32</v>
      </c>
      <c r="D93" s="184">
        <f>'Nitrous Oxide MMS'!P41*100%</f>
        <v>0.00011704235134272676</v>
      </c>
      <c r="E93" s="184">
        <f>'Nitrous Oxide MMS'!Q41*100%</f>
        <v>0.00011939963379128322</v>
      </c>
      <c r="F93" s="184">
        <f>'Nitrous Oxide MMS'!R41*100%</f>
        <v>0.0003113199407986306</v>
      </c>
      <c r="G93" s="184">
        <f>'Nitrous Oxide MMS'!S41*100%</f>
        <v>0.00020312527638183348</v>
      </c>
      <c r="H93" s="184">
        <f>'Nitrous Oxide MMS'!T41*100%</f>
        <v>0.0012419625664842433</v>
      </c>
      <c r="I93" s="184">
        <f>'Nitrous Oxide MMS'!U41*100%</f>
        <v>0.0002907631407986306</v>
      </c>
      <c r="J93" s="184">
        <f>'Nitrous Oxide MMS'!V41*100%</f>
        <v>0.0002907631407986306</v>
      </c>
      <c r="K93" s="184">
        <f>'Nitrous Oxide MMS'!W41*100%</f>
        <v>0.00026863670925793455</v>
      </c>
      <c r="L93" s="137"/>
      <c r="M93" s="133"/>
      <c r="N93" s="131"/>
      <c r="O93" s="37"/>
      <c r="P93" s="37"/>
      <c r="Q93" s="37"/>
      <c r="R93" s="37"/>
      <c r="S93" s="37"/>
      <c r="T93" s="37"/>
      <c r="U93" s="37"/>
      <c r="V93" s="37"/>
      <c r="W93" s="37"/>
      <c r="X93" s="37"/>
      <c r="Y93" s="37"/>
      <c r="Z93" s="37"/>
      <c r="AA93" s="37"/>
      <c r="AB93" s="37"/>
      <c r="AC93" s="37"/>
    </row>
    <row r="94" spans="2:29" ht="15.75">
      <c r="B94" s="162"/>
      <c r="C94" s="188" t="s">
        <v>33</v>
      </c>
      <c r="D94" s="184">
        <f>'Nitrous Oxide MMS'!P42*100%</f>
        <v>9.079606249042115E-05</v>
      </c>
      <c r="E94" s="184">
        <f>'Nitrous Oxide MMS'!Q42*100%</f>
        <v>9.432188325235946E-05</v>
      </c>
      <c r="F94" s="184">
        <f>'Nitrous Oxide MMS'!R42*100%</f>
        <v>0.0002641940006371361</v>
      </c>
      <c r="G94" s="184">
        <f>'Nitrous Oxide MMS'!S42*100%</f>
        <v>0.00016449145203388649</v>
      </c>
      <c r="H94" s="184">
        <f>'Nitrous Oxide MMS'!T42*100%</f>
        <v>0.0007559505380045518</v>
      </c>
      <c r="I94" s="184">
        <f>'Nitrous Oxide MMS'!U42*100%</f>
        <v>0.000216719011327692</v>
      </c>
      <c r="J94" s="184">
        <f>'Nitrous Oxide MMS'!V42*100%</f>
        <v>9.237487786716094E-05</v>
      </c>
      <c r="K94" s="184">
        <f>'Nitrous Oxide MMS'!W42*100%</f>
        <v>0.00021098052413812826</v>
      </c>
      <c r="L94" s="137"/>
      <c r="M94" s="133"/>
      <c r="N94" s="131"/>
      <c r="O94" s="37"/>
      <c r="P94" s="37"/>
      <c r="Q94" s="37"/>
      <c r="R94" s="37"/>
      <c r="S94" s="37"/>
      <c r="T94" s="37"/>
      <c r="U94" s="37"/>
      <c r="V94" s="37"/>
      <c r="W94" s="37"/>
      <c r="X94" s="37"/>
      <c r="Y94" s="37"/>
      <c r="Z94" s="37"/>
      <c r="AA94" s="37"/>
      <c r="AB94" s="37"/>
      <c r="AC94" s="37"/>
    </row>
    <row r="95" spans="2:29" ht="15.75">
      <c r="B95" s="137"/>
      <c r="C95" s="188" t="s">
        <v>34</v>
      </c>
      <c r="D95" s="184">
        <f>'Nitrous Oxide MMS'!P43*100%</f>
        <v>9.113092729401342E-05</v>
      </c>
      <c r="E95" s="184">
        <f>'Nitrous Oxide MMS'!Q43*100%</f>
        <v>5.750627404473207E-05</v>
      </c>
      <c r="F95" s="184">
        <f>'Nitrous Oxide MMS'!R43*100%</f>
        <v>0.00017481917767386295</v>
      </c>
      <c r="G95" s="184">
        <f>'Nitrous Oxide MMS'!S43*100%</f>
        <v>0.00013782646131521985</v>
      </c>
      <c r="H95" s="184">
        <f>'Nitrous Oxide MMS'!T43*100%</f>
        <v>0.0007010137884718045</v>
      </c>
      <c r="I95" s="184">
        <f>'Nitrous Oxide MMS'!U43*100%</f>
        <v>0.00014304957767386295</v>
      </c>
      <c r="J95" s="184">
        <f>'Nitrous Oxide MMS'!V43*100%</f>
        <v>7.152478883693147E-05</v>
      </c>
      <c r="K95" s="184">
        <f>'Nitrous Oxide MMS'!W43*100%</f>
        <v>0.00019651606129072023</v>
      </c>
      <c r="L95" s="137"/>
      <c r="M95" s="133"/>
      <c r="N95" s="131"/>
      <c r="O95" s="37"/>
      <c r="P95" s="37"/>
      <c r="Q95" s="37"/>
      <c r="R95" s="37"/>
      <c r="S95" s="37"/>
      <c r="T95" s="37"/>
      <c r="U95" s="37"/>
      <c r="V95" s="37"/>
      <c r="W95" s="37"/>
      <c r="X95" s="37"/>
      <c r="Y95" s="37"/>
      <c r="Z95" s="147"/>
      <c r="AA95" s="37"/>
      <c r="AB95" s="37"/>
      <c r="AC95" s="37"/>
    </row>
    <row r="96" spans="2:29" ht="15.75">
      <c r="B96" s="137"/>
      <c r="C96" s="188" t="s">
        <v>35</v>
      </c>
      <c r="D96" s="184">
        <f>'Nitrous Oxide MMS'!P44*100%</f>
        <v>9.8297613821816E-05</v>
      </c>
      <c r="E96" s="184">
        <f>'Nitrous Oxide MMS'!Q44*100%</f>
        <v>7.650216317163567E-05</v>
      </c>
      <c r="F96" s="184">
        <f>'Nitrous Oxide MMS'!R44*100%</f>
        <v>0.00020325066027228732</v>
      </c>
      <c r="G96" s="184">
        <f>'Nitrous Oxide MMS'!S44*100%</f>
        <v>0.0001452145522126068</v>
      </c>
      <c r="H96" s="184">
        <f>'Nitrous Oxide MMS'!T44*100%</f>
        <v>0.0007718954723218895</v>
      </c>
      <c r="I96" s="184">
        <f>'Nitrous Oxide MMS'!U44*100%</f>
        <v>0.00018045130027228732</v>
      </c>
      <c r="J96" s="184">
        <f>'Nitrous Oxide MMS'!V44*100%</f>
        <v>9.022565013614366E-05</v>
      </c>
      <c r="K96" s="184">
        <f>'Nitrous Oxide MMS'!W44*100%</f>
        <v>0.00022656423598384331</v>
      </c>
      <c r="L96" s="137"/>
      <c r="M96" s="133"/>
      <c r="N96" s="131"/>
      <c r="O96" s="37"/>
      <c r="P96" s="37"/>
      <c r="Q96" s="37"/>
      <c r="R96" s="37"/>
      <c r="S96" s="37"/>
      <c r="T96" s="37"/>
      <c r="U96" s="37"/>
      <c r="V96" s="37"/>
      <c r="W96" s="37"/>
      <c r="X96" s="37"/>
      <c r="Y96" s="37"/>
      <c r="Z96" s="147"/>
      <c r="AA96" s="37"/>
      <c r="AB96" s="37"/>
      <c r="AC96" s="37"/>
    </row>
    <row r="97" spans="2:29" ht="15.75">
      <c r="B97" s="137"/>
      <c r="C97" s="188"/>
      <c r="D97" s="134"/>
      <c r="E97" s="134"/>
      <c r="F97" s="134"/>
      <c r="G97" s="134"/>
      <c r="H97" s="134"/>
      <c r="I97" s="134"/>
      <c r="J97" s="134"/>
      <c r="K97" s="134"/>
      <c r="L97" s="137"/>
      <c r="M97" s="143"/>
      <c r="N97" s="131"/>
      <c r="O97" s="37"/>
      <c r="P97" s="37"/>
      <c r="Q97" s="37"/>
      <c r="R97" s="37"/>
      <c r="S97" s="37"/>
      <c r="T97" s="37"/>
      <c r="U97" s="37"/>
      <c r="V97" s="37"/>
      <c r="W97" s="37"/>
      <c r="X97" s="37"/>
      <c r="Y97" s="37"/>
      <c r="Z97" s="147"/>
      <c r="AA97" s="37"/>
      <c r="AB97" s="37"/>
      <c r="AC97" s="37"/>
    </row>
    <row r="98" spans="2:29" ht="15.75">
      <c r="B98" s="137"/>
      <c r="C98" s="188"/>
      <c r="D98" s="162" t="s">
        <v>308</v>
      </c>
      <c r="E98" s="137"/>
      <c r="F98" s="137"/>
      <c r="G98" s="137"/>
      <c r="H98" s="137"/>
      <c r="I98" s="137"/>
      <c r="J98" s="137"/>
      <c r="K98" s="137"/>
      <c r="L98" s="137"/>
      <c r="M98" s="143" t="s">
        <v>309</v>
      </c>
      <c r="N98" s="131"/>
      <c r="O98" s="37"/>
      <c r="P98" s="37"/>
      <c r="Q98" s="37"/>
      <c r="R98" s="37"/>
      <c r="S98" s="37"/>
      <c r="T98" s="37"/>
      <c r="U98" s="37"/>
      <c r="V98" s="37"/>
      <c r="W98" s="37"/>
      <c r="X98" s="37"/>
      <c r="Y98" s="37"/>
      <c r="Z98" s="147"/>
      <c r="AA98" s="37"/>
      <c r="AB98" s="37"/>
      <c r="AC98" s="37"/>
    </row>
    <row r="99" spans="2:29" ht="15.75">
      <c r="B99" s="137"/>
      <c r="C99" s="188" t="s">
        <v>32</v>
      </c>
      <c r="D99" s="184">
        <f>'Nitrous Oxide MMS'!P47*100%</f>
        <v>0.0007533240186884007</v>
      </c>
      <c r="E99" s="184">
        <f>'Nitrous Oxide MMS'!Q47*100%</f>
        <v>0.0006969812232471494</v>
      </c>
      <c r="F99" s="184">
        <f>'Nitrous Oxide MMS'!R47*100%</f>
        <v>0.0018697254013941389</v>
      </c>
      <c r="G99" s="184">
        <f>'Nitrous Oxide MMS'!S47*100%</f>
        <v>0.0012881746654775886</v>
      </c>
      <c r="H99" s="184">
        <f>'Nitrous Oxide MMS'!T47*100%</f>
        <v>0.007724714722772231</v>
      </c>
      <c r="I99" s="184">
        <f>'Nitrous Oxide MMS'!U47*100%</f>
        <v>0.0015678622040541886</v>
      </c>
      <c r="J99" s="184">
        <f>'Nitrous Oxide MMS'!V47*100%</f>
        <v>0.0017034022013941391</v>
      </c>
      <c r="K99" s="184">
        <f>'Nitrous Oxide MMS'!W47*100%</f>
        <v>0.001727166555668069</v>
      </c>
      <c r="L99" s="137"/>
      <c r="M99" s="143"/>
      <c r="N99" s="131"/>
      <c r="O99" s="37"/>
      <c r="P99" s="37"/>
      <c r="Q99" s="37"/>
      <c r="R99" s="37"/>
      <c r="S99" s="37"/>
      <c r="T99" s="37"/>
      <c r="U99" s="37"/>
      <c r="V99" s="37"/>
      <c r="W99" s="37"/>
      <c r="X99" s="37"/>
      <c r="Y99" s="37"/>
      <c r="Z99" s="45"/>
      <c r="AA99" s="37"/>
      <c r="AB99" s="37"/>
      <c r="AC99" s="37"/>
    </row>
    <row r="100" spans="2:29" ht="15.75">
      <c r="B100" s="327"/>
      <c r="C100" s="188" t="s">
        <v>33</v>
      </c>
      <c r="D100" s="184">
        <f>'Nitrous Oxide MMS'!P48*100%</f>
        <v>0.00011606528708896914</v>
      </c>
      <c r="E100" s="184">
        <f>'Nitrous Oxide MMS'!Q48*100%</f>
        <v>0.0001010171814033467</v>
      </c>
      <c r="F100" s="184">
        <f>'Nitrous Oxide MMS'!R48*100%</f>
        <v>0.0004008876932957845</v>
      </c>
      <c r="G100" s="184">
        <f>'Nitrous Oxide MMS'!S48*100%</f>
        <v>0.0002049484924922199</v>
      </c>
      <c r="H100" s="184">
        <f>'Nitrous Oxide MMS'!T48*100%</f>
        <v>0.0008087944469269571</v>
      </c>
      <c r="I100" s="184">
        <f>'Nitrous Oxide MMS'!U48*100%</f>
        <v>0.00013686639641850309</v>
      </c>
      <c r="J100" s="184">
        <f>'Nitrous Oxide MMS'!V48*100%</f>
        <v>6.756106250224989E-05</v>
      </c>
      <c r="K100" s="184">
        <f>'Nitrous Oxide MMS'!W48*100%</f>
        <v>0.00027867710663461435</v>
      </c>
      <c r="L100" s="137"/>
      <c r="M100" s="143"/>
      <c r="N100" s="131"/>
      <c r="O100" s="37"/>
      <c r="P100" s="37"/>
      <c r="Q100" s="37"/>
      <c r="R100" s="37"/>
      <c r="S100" s="37"/>
      <c r="T100" s="37"/>
      <c r="U100" s="37"/>
      <c r="V100" s="37"/>
      <c r="W100" s="37"/>
      <c r="X100" s="37"/>
      <c r="Y100" s="37"/>
      <c r="Z100" s="45"/>
      <c r="AA100" s="37"/>
      <c r="AB100" s="37"/>
      <c r="AC100" s="37"/>
    </row>
    <row r="101" spans="2:29" ht="15.75">
      <c r="B101" s="137"/>
      <c r="C101" s="188" t="s">
        <v>34</v>
      </c>
      <c r="D101" s="184">
        <f>'Nitrous Oxide MMS'!P49*100%</f>
        <v>0.00019037730656834844</v>
      </c>
      <c r="E101" s="184">
        <f>'Nitrous Oxide MMS'!Q49*100%</f>
        <v>7.135779853283826E-05</v>
      </c>
      <c r="F101" s="184">
        <f>'Nitrous Oxide MMS'!R49*100%</f>
        <v>0.0003205040422649559</v>
      </c>
      <c r="G101" s="184">
        <f>'Nitrous Oxide MMS'!S49*100%</f>
        <v>0.00026106185444183693</v>
      </c>
      <c r="H101" s="184">
        <f>'Nitrous Oxide MMS'!T49*100%</f>
        <v>0.0014545518233329015</v>
      </c>
      <c r="I101" s="184">
        <f>'Nitrous Oxide MMS'!U49*100%</f>
        <v>0.00016826435950800865</v>
      </c>
      <c r="J101" s="184">
        <f>'Nitrous Oxide MMS'!V49*100%</f>
        <v>8.269682113247793E-05</v>
      </c>
      <c r="K101" s="184">
        <f>'Nitrous Oxide MMS'!W49*100%</f>
        <v>0.0004036985175549018</v>
      </c>
      <c r="L101" s="137"/>
      <c r="M101" s="143"/>
      <c r="N101" s="131"/>
      <c r="O101" s="37"/>
      <c r="P101" s="37"/>
      <c r="Q101" s="37"/>
      <c r="R101" s="37"/>
      <c r="S101" s="37"/>
      <c r="T101" s="37"/>
      <c r="U101" s="37"/>
      <c r="V101" s="37"/>
      <c r="W101" s="37"/>
      <c r="X101" s="37"/>
      <c r="Y101" s="37"/>
      <c r="Z101" s="45"/>
      <c r="AA101" s="37"/>
      <c r="AB101" s="37"/>
      <c r="AC101" s="37"/>
    </row>
    <row r="102" spans="2:29" ht="15.75">
      <c r="B102" s="137"/>
      <c r="C102" s="188" t="s">
        <v>35</v>
      </c>
      <c r="D102" s="184">
        <f>'Nitrous Oxide MMS'!P50*100%</f>
        <v>0.0005108894270554216</v>
      </c>
      <c r="E102" s="184">
        <f>'Nitrous Oxide MMS'!Q50*100%</f>
        <v>0.00034714629035973376</v>
      </c>
      <c r="F102" s="184">
        <f>'Nitrous Oxide MMS'!R50*100%</f>
        <v>0.0009918052056063942</v>
      </c>
      <c r="G102" s="184">
        <f>'Nitrous Oxide MMS'!S50*100%</f>
        <v>0.0007459213774666293</v>
      </c>
      <c r="H102" s="184">
        <f>'Nitrous Oxide MMS'!T50*100%</f>
        <v>0.004002629822707614</v>
      </c>
      <c r="I102" s="184">
        <f>'Nitrous Oxide MMS'!U50*100%</f>
        <v>0.0008325492386430897</v>
      </c>
      <c r="J102" s="184">
        <f>'Nitrous Oxide MMS'!V50*100%</f>
        <v>0.00041386228280319707</v>
      </c>
      <c r="K102" s="184">
        <f>'Nitrous Oxide MMS'!W50*100%</f>
        <v>0.0011634272117460622</v>
      </c>
      <c r="L102" s="137"/>
      <c r="M102" s="143"/>
      <c r="N102" s="131"/>
      <c r="O102" s="37"/>
      <c r="P102" s="37"/>
      <c r="Q102" s="37"/>
      <c r="R102" s="37"/>
      <c r="S102" s="37"/>
      <c r="T102" s="37"/>
      <c r="U102" s="37"/>
      <c r="V102" s="37"/>
      <c r="W102" s="37"/>
      <c r="X102" s="37"/>
      <c r="Y102" s="37"/>
      <c r="Z102" s="45"/>
      <c r="AA102" s="37"/>
      <c r="AB102" s="37"/>
      <c r="AC102" s="37"/>
    </row>
    <row r="103" spans="2:29" ht="15.75">
      <c r="B103" s="137"/>
      <c r="C103" s="137"/>
      <c r="D103" s="137"/>
      <c r="E103" s="137"/>
      <c r="F103" s="137"/>
      <c r="G103" s="137"/>
      <c r="H103" s="137"/>
      <c r="I103" s="137"/>
      <c r="J103" s="137"/>
      <c r="K103" s="137"/>
      <c r="L103" s="137"/>
      <c r="M103" s="143"/>
      <c r="N103" s="131"/>
      <c r="O103" s="37"/>
      <c r="P103" s="37"/>
      <c r="Q103" s="37"/>
      <c r="R103" s="37"/>
      <c r="S103" s="37"/>
      <c r="T103" s="37"/>
      <c r="U103" s="37"/>
      <c r="V103" s="37"/>
      <c r="W103" s="37"/>
      <c r="X103" s="37"/>
      <c r="Y103" s="37"/>
      <c r="Z103" s="37"/>
      <c r="AA103" s="37"/>
      <c r="AB103" s="37"/>
      <c r="AC103" s="37"/>
    </row>
    <row r="104" spans="2:29" ht="15.75">
      <c r="B104" s="162" t="s">
        <v>310</v>
      </c>
      <c r="C104" s="137"/>
      <c r="D104" s="162" t="s">
        <v>311</v>
      </c>
      <c r="E104" s="137"/>
      <c r="F104" s="137"/>
      <c r="G104" s="137"/>
      <c r="H104" s="137"/>
      <c r="I104" s="137"/>
      <c r="J104" s="137"/>
      <c r="K104" s="137"/>
      <c r="L104" s="137"/>
      <c r="M104" s="143" t="s">
        <v>320</v>
      </c>
      <c r="N104" s="131"/>
      <c r="O104" s="37"/>
      <c r="P104" s="37"/>
      <c r="Q104" s="37"/>
      <c r="R104" s="37"/>
      <c r="S104" s="37"/>
      <c r="T104" s="37"/>
      <c r="U104" s="37"/>
      <c r="V104" s="37"/>
      <c r="W104" s="37"/>
      <c r="X104" s="37"/>
      <c r="Y104" s="37"/>
      <c r="Z104" s="148"/>
      <c r="AA104" s="37"/>
      <c r="AB104" s="37"/>
      <c r="AC104" s="37"/>
    </row>
    <row r="105" spans="2:29" ht="15.75">
      <c r="B105" s="137"/>
      <c r="C105" s="137"/>
      <c r="D105" s="137" t="s">
        <v>312</v>
      </c>
      <c r="E105" s="185">
        <v>0.005</v>
      </c>
      <c r="F105" s="137"/>
      <c r="G105" s="137"/>
      <c r="H105" s="137"/>
      <c r="I105" s="137"/>
      <c r="J105" s="137"/>
      <c r="K105" s="137"/>
      <c r="L105" s="137"/>
      <c r="M105" s="143"/>
      <c r="N105" s="131"/>
      <c r="O105" s="37"/>
      <c r="P105" s="37"/>
      <c r="Q105" s="37"/>
      <c r="R105" s="37"/>
      <c r="S105" s="37"/>
      <c r="T105" s="37"/>
      <c r="U105" s="37"/>
      <c r="V105" s="37"/>
      <c r="W105" s="37"/>
      <c r="X105" s="37"/>
      <c r="Y105" s="37"/>
      <c r="Z105" s="37"/>
      <c r="AA105" s="37"/>
      <c r="AB105" s="37"/>
      <c r="AC105" s="37"/>
    </row>
    <row r="106" spans="2:29" ht="15.75">
      <c r="B106" s="137"/>
      <c r="C106" s="137"/>
      <c r="D106" s="137" t="s">
        <v>313</v>
      </c>
      <c r="E106" s="134">
        <v>0.004</v>
      </c>
      <c r="F106" s="137"/>
      <c r="G106" s="137"/>
      <c r="H106" s="137"/>
      <c r="I106" s="137"/>
      <c r="J106" s="137"/>
      <c r="K106" s="137"/>
      <c r="L106" s="137"/>
      <c r="M106" s="143"/>
      <c r="N106" s="131"/>
      <c r="O106" s="37"/>
      <c r="P106" s="37"/>
      <c r="Q106" s="37"/>
      <c r="R106" s="37"/>
      <c r="S106" s="37"/>
      <c r="T106" s="37"/>
      <c r="U106" s="37"/>
      <c r="V106" s="37"/>
      <c r="W106" s="37"/>
      <c r="X106" s="37"/>
      <c r="Y106" s="37"/>
      <c r="Z106" s="37"/>
      <c r="AA106" s="37"/>
      <c r="AB106" s="37"/>
      <c r="AC106" s="37"/>
    </row>
    <row r="107" spans="2:29" ht="15.75">
      <c r="B107" s="137"/>
      <c r="C107" s="137"/>
      <c r="D107" s="137"/>
      <c r="E107" s="137"/>
      <c r="F107" s="137"/>
      <c r="G107" s="137"/>
      <c r="H107" s="137"/>
      <c r="I107" s="137"/>
      <c r="J107" s="137"/>
      <c r="K107" s="137"/>
      <c r="L107" s="137"/>
      <c r="M107" s="143"/>
      <c r="N107" s="131"/>
      <c r="O107" s="37"/>
      <c r="P107" s="37"/>
      <c r="Q107" s="37"/>
      <c r="R107" s="37"/>
      <c r="S107" s="37"/>
      <c r="T107" s="37"/>
      <c r="U107" s="37"/>
      <c r="V107" s="37"/>
      <c r="W107" s="37"/>
      <c r="X107" s="37"/>
      <c r="Y107" s="37"/>
      <c r="Z107" s="37"/>
      <c r="AA107" s="37"/>
      <c r="AB107" s="37"/>
      <c r="AC107" s="37"/>
    </row>
    <row r="108" spans="2:29" ht="15.75">
      <c r="B108" s="137"/>
      <c r="C108" s="188" t="s">
        <v>32</v>
      </c>
      <c r="D108" s="186">
        <f>(D93*0.005*$C$17)+(D99*0.004*$C$17)</f>
        <v>5.654798020877086E-06</v>
      </c>
      <c r="E108" s="186">
        <f aca="true" t="shared" si="0" ref="E108:K108">(E93*0.005*$C$17)+(E99*0.004*$C$17)</f>
        <v>5.319164811627879E-06</v>
      </c>
      <c r="F108" s="186">
        <f t="shared" si="0"/>
        <v>1.4198644915038113E-05</v>
      </c>
      <c r="G108" s="186">
        <f t="shared" si="0"/>
        <v>9.693082211716391E-06</v>
      </c>
      <c r="H108" s="186">
        <f t="shared" si="0"/>
        <v>5.8313626994087355E-05</v>
      </c>
      <c r="I108" s="186">
        <f t="shared" si="0"/>
        <v>1.2139701388901282E-05</v>
      </c>
      <c r="J108" s="186">
        <f t="shared" si="0"/>
        <v>1.2991667086466686E-05</v>
      </c>
      <c r="K108" s="186">
        <f t="shared" si="0"/>
        <v>1.2967192494083064E-05</v>
      </c>
      <c r="L108" s="182" t="s">
        <v>227</v>
      </c>
      <c r="M108" s="143"/>
      <c r="N108" s="131"/>
      <c r="O108" s="37"/>
      <c r="P108" s="37"/>
      <c r="Q108" s="37"/>
      <c r="R108" s="37"/>
      <c r="S108" s="37"/>
      <c r="T108" s="37"/>
      <c r="U108" s="37"/>
      <c r="V108" s="37"/>
      <c r="W108" s="37"/>
      <c r="X108" s="37"/>
      <c r="Y108" s="37"/>
      <c r="Z108" s="37"/>
      <c r="AA108" s="37"/>
      <c r="AB108" s="37"/>
      <c r="AC108" s="37"/>
    </row>
    <row r="109" spans="2:29" ht="15.75">
      <c r="B109" s="162"/>
      <c r="C109" s="188" t="s">
        <v>33</v>
      </c>
      <c r="D109" s="186">
        <f aca="true" t="shared" si="1" ref="D109:K109">(D94*0.005*$C$17)+(D100*0.004*$C$17)</f>
        <v>1.4429508669839722E-06</v>
      </c>
      <c r="E109" s="186">
        <f t="shared" si="1"/>
        <v>1.3760656515181464E-06</v>
      </c>
      <c r="F109" s="186">
        <f t="shared" si="1"/>
        <v>4.59567550572243E-06</v>
      </c>
      <c r="G109" s="186">
        <f t="shared" si="1"/>
        <v>2.5806805045030615E-06</v>
      </c>
      <c r="H109" s="186">
        <f t="shared" si="1"/>
        <v>1.1023462179290923E-05</v>
      </c>
      <c r="I109" s="186">
        <f t="shared" si="1"/>
        <v>2.5630952950624565E-06</v>
      </c>
      <c r="J109" s="186">
        <f t="shared" si="1"/>
        <v>1.1504721475418352E-06</v>
      </c>
      <c r="K109" s="186">
        <f t="shared" si="1"/>
        <v>3.4093887885028694E-06</v>
      </c>
      <c r="L109" s="182" t="s">
        <v>227</v>
      </c>
      <c r="M109" s="143"/>
      <c r="N109" s="131"/>
      <c r="O109" s="37"/>
      <c r="P109" s="37"/>
      <c r="Q109" s="37"/>
      <c r="R109" s="37"/>
      <c r="S109" s="37"/>
      <c r="T109" s="37"/>
      <c r="U109" s="37"/>
      <c r="V109" s="37"/>
      <c r="W109" s="37"/>
      <c r="X109" s="37"/>
      <c r="Y109" s="37"/>
      <c r="Z109" s="37"/>
      <c r="AA109" s="37"/>
      <c r="AB109" s="37"/>
      <c r="AC109" s="37"/>
    </row>
    <row r="110" spans="2:29" ht="15.75">
      <c r="B110" s="137"/>
      <c r="C110" s="188" t="s">
        <v>34</v>
      </c>
      <c r="D110" s="186">
        <f aca="true" t="shared" si="2" ref="D110:K110">(D95*0.005*$C$17)+(D101*0.004*$C$17)</f>
        <v>1.9126860700254385E-06</v>
      </c>
      <c r="E110" s="186">
        <f t="shared" si="2"/>
        <v>9.003697439864496E-07</v>
      </c>
      <c r="F110" s="186">
        <f t="shared" si="2"/>
        <v>3.388176090245789E-06</v>
      </c>
      <c r="G110" s="186">
        <f t="shared" si="2"/>
        <v>2.7238824239682736E-06</v>
      </c>
      <c r="H110" s="186">
        <f t="shared" si="2"/>
        <v>1.4650862656085273E-05</v>
      </c>
      <c r="I110" s="186">
        <f t="shared" si="2"/>
        <v>2.1816226557735487E-06</v>
      </c>
      <c r="J110" s="186">
        <f t="shared" si="2"/>
        <v>1.0817890736943227E-06</v>
      </c>
      <c r="K110" s="186">
        <f t="shared" si="2"/>
        <v>4.081588306200756E-06</v>
      </c>
      <c r="L110" s="182" t="s">
        <v>227</v>
      </c>
      <c r="M110" s="143"/>
      <c r="N110" s="146"/>
      <c r="O110" s="37"/>
      <c r="P110" s="37"/>
      <c r="Q110" s="37"/>
      <c r="R110" s="37"/>
      <c r="S110" s="37"/>
      <c r="T110" s="37"/>
      <c r="U110" s="37"/>
      <c r="V110" s="37"/>
      <c r="W110" s="37"/>
      <c r="X110" s="37"/>
      <c r="Y110" s="37"/>
      <c r="Z110" s="37"/>
      <c r="AA110" s="37"/>
      <c r="AB110" s="37"/>
      <c r="AC110" s="37"/>
    </row>
    <row r="111" spans="2:29" ht="15.75">
      <c r="B111" s="137"/>
      <c r="C111" s="188" t="s">
        <v>35</v>
      </c>
      <c r="D111" s="186">
        <f aca="true" t="shared" si="3" ref="D111:K111">(D96*0.005*$C$17)+(D102*0.004*$C$17)</f>
        <v>3.983643364376919E-06</v>
      </c>
      <c r="E111" s="186">
        <f t="shared" si="3"/>
        <v>2.7831508214668923E-06</v>
      </c>
      <c r="F111" s="186">
        <f t="shared" si="3"/>
        <v>7.831173623093879E-06</v>
      </c>
      <c r="G111" s="186">
        <f t="shared" si="3"/>
        <v>5.8296201400321515E-06</v>
      </c>
      <c r="H111" s="186">
        <f t="shared" si="3"/>
        <v>3.122428045383413E-05</v>
      </c>
      <c r="I111" s="186">
        <f t="shared" si="3"/>
        <v>6.650998287895964E-06</v>
      </c>
      <c r="J111" s="186">
        <f t="shared" si="3"/>
        <v>3.3103358858326536E-06</v>
      </c>
      <c r="K111" s="186">
        <f t="shared" si="3"/>
        <v>9.093118613705445E-06</v>
      </c>
      <c r="L111" s="182" t="s">
        <v>227</v>
      </c>
      <c r="M111" s="143"/>
      <c r="N111" s="131"/>
      <c r="O111" s="37"/>
      <c r="P111" s="37"/>
      <c r="Q111" s="37"/>
      <c r="R111" s="37"/>
      <c r="S111" s="37"/>
      <c r="T111" s="37"/>
      <c r="U111" s="37"/>
      <c r="V111" s="37"/>
      <c r="W111" s="37"/>
      <c r="X111" s="37"/>
      <c r="Y111" s="37"/>
      <c r="Z111" s="37"/>
      <c r="AA111" s="37"/>
      <c r="AB111" s="37"/>
      <c r="AC111" s="37"/>
    </row>
    <row r="112" spans="2:29" ht="15.75">
      <c r="B112" s="137"/>
      <c r="C112" s="188"/>
      <c r="D112" s="137"/>
      <c r="E112" s="137"/>
      <c r="F112" s="137"/>
      <c r="G112" s="137"/>
      <c r="H112" s="137"/>
      <c r="I112" s="137"/>
      <c r="J112" s="137"/>
      <c r="K112" s="137"/>
      <c r="L112" s="137"/>
      <c r="M112" s="143"/>
      <c r="N112" s="131"/>
      <c r="O112" s="37"/>
      <c r="P112" s="37"/>
      <c r="Q112" s="37"/>
      <c r="R112" s="37"/>
      <c r="S112" s="37"/>
      <c r="T112" s="37"/>
      <c r="U112" s="37"/>
      <c r="V112" s="37"/>
      <c r="W112" s="37"/>
      <c r="X112" s="37"/>
      <c r="Y112" s="37"/>
      <c r="Z112" s="37"/>
      <c r="AA112" s="37"/>
      <c r="AB112" s="37"/>
      <c r="AC112" s="37"/>
    </row>
    <row r="113" spans="2:29" ht="15.75">
      <c r="B113" s="162" t="s">
        <v>314</v>
      </c>
      <c r="C113" s="188"/>
      <c r="D113" s="137"/>
      <c r="E113" s="137"/>
      <c r="F113" s="137"/>
      <c r="G113" s="137"/>
      <c r="H113" s="137"/>
      <c r="I113" s="137"/>
      <c r="J113" s="137"/>
      <c r="K113" s="137"/>
      <c r="L113" s="137"/>
      <c r="M113" s="143"/>
      <c r="N113" s="131"/>
      <c r="O113" s="37"/>
      <c r="P113" s="37"/>
      <c r="Q113" s="37"/>
      <c r="R113" s="37"/>
      <c r="S113" s="37"/>
      <c r="T113" s="37"/>
      <c r="U113" s="37"/>
      <c r="V113" s="37"/>
      <c r="W113" s="37"/>
      <c r="X113" s="37"/>
      <c r="Y113" s="37"/>
      <c r="Z113" s="37"/>
      <c r="AA113" s="37"/>
      <c r="AB113" s="37"/>
      <c r="AC113" s="37"/>
    </row>
    <row r="114" spans="2:29" ht="15.75">
      <c r="B114" s="137"/>
      <c r="C114" s="188" t="s">
        <v>32</v>
      </c>
      <c r="D114" s="186">
        <f>$F$57+D108</f>
        <v>5.654798020877086E-06</v>
      </c>
      <c r="E114" s="186">
        <f aca="true" t="shared" si="4" ref="E114:K114">$F$57+E108</f>
        <v>5.319164811627879E-06</v>
      </c>
      <c r="F114" s="186">
        <f t="shared" si="4"/>
        <v>1.4198644915038113E-05</v>
      </c>
      <c r="G114" s="186">
        <f t="shared" si="4"/>
        <v>9.693082211716391E-06</v>
      </c>
      <c r="H114" s="186">
        <f t="shared" si="4"/>
        <v>5.8313626994087355E-05</v>
      </c>
      <c r="I114" s="186">
        <f t="shared" si="4"/>
        <v>1.2139701388901282E-05</v>
      </c>
      <c r="J114" s="186">
        <f t="shared" si="4"/>
        <v>1.2991667086466686E-05</v>
      </c>
      <c r="K114" s="186">
        <f t="shared" si="4"/>
        <v>1.2967192494083064E-05</v>
      </c>
      <c r="L114" s="182" t="s">
        <v>227</v>
      </c>
      <c r="M114" s="143"/>
      <c r="N114" s="131"/>
      <c r="O114" s="37"/>
      <c r="P114" s="37"/>
      <c r="Q114" s="37"/>
      <c r="R114" s="37"/>
      <c r="S114" s="37"/>
      <c r="T114" s="37"/>
      <c r="U114" s="37"/>
      <c r="V114" s="37"/>
      <c r="W114" s="37"/>
      <c r="X114" s="37"/>
      <c r="Y114" s="37"/>
      <c r="Z114" s="37"/>
      <c r="AA114" s="37"/>
      <c r="AB114" s="37"/>
      <c r="AC114" s="37"/>
    </row>
    <row r="115" spans="2:29" ht="15.75">
      <c r="B115" s="137"/>
      <c r="C115" s="188" t="s">
        <v>33</v>
      </c>
      <c r="D115" s="186">
        <f aca="true" t="shared" si="5" ref="D115:K115">$F$57+D109</f>
        <v>1.4429508669839722E-06</v>
      </c>
      <c r="E115" s="186">
        <f t="shared" si="5"/>
        <v>1.3760656515181464E-06</v>
      </c>
      <c r="F115" s="186">
        <f t="shared" si="5"/>
        <v>4.59567550572243E-06</v>
      </c>
      <c r="G115" s="186">
        <f t="shared" si="5"/>
        <v>2.5806805045030615E-06</v>
      </c>
      <c r="H115" s="186">
        <f t="shared" si="5"/>
        <v>1.1023462179290923E-05</v>
      </c>
      <c r="I115" s="186">
        <f t="shared" si="5"/>
        <v>2.5630952950624565E-06</v>
      </c>
      <c r="J115" s="186">
        <f t="shared" si="5"/>
        <v>1.1504721475418352E-06</v>
      </c>
      <c r="K115" s="186">
        <f t="shared" si="5"/>
        <v>3.4093887885028694E-06</v>
      </c>
      <c r="L115" s="182" t="s">
        <v>227</v>
      </c>
      <c r="M115" s="143"/>
      <c r="N115" s="131"/>
      <c r="O115" s="37"/>
      <c r="P115" s="37"/>
      <c r="Q115" s="37"/>
      <c r="R115" s="37"/>
      <c r="S115" s="37"/>
      <c r="T115" s="37"/>
      <c r="U115" s="37"/>
      <c r="V115" s="37"/>
      <c r="W115" s="37"/>
      <c r="X115" s="37"/>
      <c r="Y115" s="37"/>
      <c r="Z115" s="37"/>
      <c r="AA115" s="37"/>
      <c r="AB115" s="37"/>
      <c r="AC115" s="37"/>
    </row>
    <row r="116" spans="2:29" ht="15.75">
      <c r="B116" s="137"/>
      <c r="C116" s="188" t="s">
        <v>34</v>
      </c>
      <c r="D116" s="186">
        <f aca="true" t="shared" si="6" ref="D116:K116">$F$57+D110</f>
        <v>1.9126860700254385E-06</v>
      </c>
      <c r="E116" s="186">
        <f t="shared" si="6"/>
        <v>9.003697439864496E-07</v>
      </c>
      <c r="F116" s="186">
        <f t="shared" si="6"/>
        <v>3.388176090245789E-06</v>
      </c>
      <c r="G116" s="186">
        <f t="shared" si="6"/>
        <v>2.7238824239682736E-06</v>
      </c>
      <c r="H116" s="186">
        <f t="shared" si="6"/>
        <v>1.4650862656085273E-05</v>
      </c>
      <c r="I116" s="186">
        <f t="shared" si="6"/>
        <v>2.1816226557735487E-06</v>
      </c>
      <c r="J116" s="186">
        <f t="shared" si="6"/>
        <v>1.0817890736943227E-06</v>
      </c>
      <c r="K116" s="186">
        <f t="shared" si="6"/>
        <v>4.081588306200756E-06</v>
      </c>
      <c r="L116" s="182" t="s">
        <v>227</v>
      </c>
      <c r="M116" s="143"/>
      <c r="N116" s="131"/>
      <c r="O116" s="37"/>
      <c r="P116" s="37"/>
      <c r="Q116" s="37"/>
      <c r="R116" s="37"/>
      <c r="S116" s="37"/>
      <c r="T116" s="37"/>
      <c r="U116" s="37"/>
      <c r="V116" s="37"/>
      <c r="W116" s="37"/>
      <c r="X116" s="37"/>
      <c r="Y116" s="37"/>
      <c r="Z116" s="37"/>
      <c r="AA116" s="37"/>
      <c r="AB116" s="37"/>
      <c r="AC116" s="37"/>
    </row>
    <row r="117" spans="2:29" ht="15.75">
      <c r="B117" s="137"/>
      <c r="C117" s="188" t="s">
        <v>35</v>
      </c>
      <c r="D117" s="186">
        <f aca="true" t="shared" si="7" ref="D117:K117">$F$57+D111</f>
        <v>3.983643364376919E-06</v>
      </c>
      <c r="E117" s="186">
        <f t="shared" si="7"/>
        <v>2.7831508214668923E-06</v>
      </c>
      <c r="F117" s="186">
        <f t="shared" si="7"/>
        <v>7.831173623093879E-06</v>
      </c>
      <c r="G117" s="186">
        <f t="shared" si="7"/>
        <v>5.8296201400321515E-06</v>
      </c>
      <c r="H117" s="186">
        <f t="shared" si="7"/>
        <v>3.122428045383413E-05</v>
      </c>
      <c r="I117" s="186">
        <f t="shared" si="7"/>
        <v>6.650998287895964E-06</v>
      </c>
      <c r="J117" s="186">
        <f t="shared" si="7"/>
        <v>3.3103358858326536E-06</v>
      </c>
      <c r="K117" s="186">
        <f t="shared" si="7"/>
        <v>9.093118613705445E-06</v>
      </c>
      <c r="L117" s="182" t="s">
        <v>227</v>
      </c>
      <c r="M117" s="143"/>
      <c r="N117" s="131"/>
      <c r="O117" s="37"/>
      <c r="P117" s="37"/>
      <c r="Q117" s="129"/>
      <c r="R117" s="129"/>
      <c r="S117" s="37"/>
      <c r="T117" s="129"/>
      <c r="U117" s="37"/>
      <c r="V117" s="37"/>
      <c r="W117" s="37"/>
      <c r="X117" s="37"/>
      <c r="Y117" s="37"/>
      <c r="Z117" s="37"/>
      <c r="AA117" s="37"/>
      <c r="AB117" s="37"/>
      <c r="AC117" s="37"/>
    </row>
    <row r="118" spans="2:29" ht="15.75">
      <c r="B118" s="137"/>
      <c r="C118" s="162"/>
      <c r="D118" s="137"/>
      <c r="E118" s="137"/>
      <c r="F118" s="137"/>
      <c r="G118" s="137"/>
      <c r="H118" s="137"/>
      <c r="I118" s="137"/>
      <c r="J118" s="137"/>
      <c r="K118" s="137"/>
      <c r="L118" s="137"/>
      <c r="M118" s="143"/>
      <c r="N118" s="131"/>
      <c r="O118" s="37"/>
      <c r="P118" s="37"/>
      <c r="Q118" s="39"/>
      <c r="R118" s="129"/>
      <c r="S118" s="37"/>
      <c r="T118" s="37"/>
      <c r="U118" s="37"/>
      <c r="V118" s="37"/>
      <c r="W118" s="37"/>
      <c r="X118" s="37"/>
      <c r="Y118" s="37"/>
      <c r="Z118" s="37"/>
      <c r="AA118" s="37"/>
      <c r="AB118" s="37"/>
      <c r="AC118" s="37"/>
    </row>
    <row r="119" spans="2:29" ht="15.75">
      <c r="B119" s="162" t="s">
        <v>125</v>
      </c>
      <c r="C119" s="187">
        <f>SUM(D114:K117)</f>
        <v>0.0002610469670721414</v>
      </c>
      <c r="D119" s="137"/>
      <c r="E119" s="137"/>
      <c r="F119" s="137"/>
      <c r="G119" s="137"/>
      <c r="H119" s="137"/>
      <c r="I119" s="137"/>
      <c r="J119" s="137"/>
      <c r="K119" s="137"/>
      <c r="L119" s="182" t="s">
        <v>234</v>
      </c>
      <c r="M119" s="143"/>
      <c r="N119" s="131"/>
      <c r="O119" s="37"/>
      <c r="P119" s="37"/>
      <c r="Q119" s="37"/>
      <c r="R119" s="37"/>
      <c r="S119" s="37"/>
      <c r="T119" s="37"/>
      <c r="U119" s="37"/>
      <c r="V119" s="37"/>
      <c r="W119" s="37"/>
      <c r="X119" s="37"/>
      <c r="Y119" s="37"/>
      <c r="Z119" s="37"/>
      <c r="AA119" s="37"/>
      <c r="AB119" s="37"/>
      <c r="AC119" s="37"/>
    </row>
    <row r="120" spans="2:29" ht="15.75">
      <c r="B120" s="162" t="s">
        <v>125</v>
      </c>
      <c r="C120" s="163">
        <f>C119*310</f>
        <v>0.08092455979236383</v>
      </c>
      <c r="D120" s="137"/>
      <c r="E120" s="137"/>
      <c r="F120" s="137"/>
      <c r="G120" s="137"/>
      <c r="H120" s="137"/>
      <c r="I120" s="137"/>
      <c r="J120" s="137"/>
      <c r="K120" s="137"/>
      <c r="L120" s="182" t="s">
        <v>181</v>
      </c>
      <c r="M120" s="143"/>
      <c r="N120" s="131"/>
      <c r="O120" s="37"/>
      <c r="P120" s="37"/>
      <c r="Q120" s="37"/>
      <c r="R120" s="37"/>
      <c r="S120" s="37"/>
      <c r="T120" s="37"/>
      <c r="U120" s="37"/>
      <c r="V120" s="37"/>
      <c r="W120" s="37"/>
      <c r="X120" s="37"/>
      <c r="Y120" s="37"/>
      <c r="Z120" s="37"/>
      <c r="AA120" s="37"/>
      <c r="AB120" s="37"/>
      <c r="AC120" s="37"/>
    </row>
    <row r="121" spans="2:29" ht="15.75">
      <c r="B121" s="162" t="s">
        <v>125</v>
      </c>
      <c r="C121" s="163">
        <f>C120*10^3</f>
        <v>80.92455979236384</v>
      </c>
      <c r="D121" s="137"/>
      <c r="E121" s="137"/>
      <c r="F121" s="137"/>
      <c r="G121" s="137"/>
      <c r="H121" s="137"/>
      <c r="I121" s="137"/>
      <c r="J121" s="137"/>
      <c r="K121" s="137"/>
      <c r="L121" s="182" t="s">
        <v>182</v>
      </c>
      <c r="M121" s="143"/>
      <c r="N121" s="131"/>
      <c r="O121" s="37"/>
      <c r="P121" s="37"/>
      <c r="Q121" s="37"/>
      <c r="R121" s="37"/>
      <c r="S121" s="37"/>
      <c r="T121" s="37"/>
      <c r="U121" s="37"/>
      <c r="V121" s="37"/>
      <c r="W121" s="37"/>
      <c r="X121" s="37"/>
      <c r="Y121" s="37"/>
      <c r="Z121" s="37"/>
      <c r="AA121" s="37"/>
      <c r="AB121" s="37"/>
      <c r="AC121" s="37"/>
    </row>
    <row r="122" spans="2:29" ht="15.75">
      <c r="B122" s="137"/>
      <c r="C122" s="181"/>
      <c r="D122" s="137"/>
      <c r="E122" s="137"/>
      <c r="F122" s="137"/>
      <c r="G122" s="137"/>
      <c r="H122" s="137"/>
      <c r="I122" s="137"/>
      <c r="J122" s="137"/>
      <c r="K122" s="137"/>
      <c r="L122" s="137"/>
      <c r="M122" s="143"/>
      <c r="N122" s="131"/>
      <c r="O122" s="37"/>
      <c r="P122" s="37"/>
      <c r="Q122" s="37"/>
      <c r="R122" s="37"/>
      <c r="S122" s="37"/>
      <c r="T122" s="37"/>
      <c r="U122" s="37"/>
      <c r="V122" s="37"/>
      <c r="W122" s="37"/>
      <c r="X122" s="37"/>
      <c r="Y122" s="37"/>
      <c r="Z122" s="37"/>
      <c r="AA122" s="37"/>
      <c r="AB122" s="37"/>
      <c r="AC122" s="37"/>
    </row>
    <row r="123" spans="2:29" ht="15.75">
      <c r="B123" s="137"/>
      <c r="C123" s="181"/>
      <c r="D123" s="137"/>
      <c r="E123" s="137"/>
      <c r="F123" s="137"/>
      <c r="G123" s="137"/>
      <c r="H123" s="137"/>
      <c r="I123" s="137"/>
      <c r="J123" s="137"/>
      <c r="K123" s="137"/>
      <c r="L123" s="137"/>
      <c r="M123" s="143"/>
      <c r="N123" s="131"/>
      <c r="O123" s="37"/>
      <c r="P123" s="129"/>
      <c r="Q123" s="129"/>
      <c r="R123" s="37"/>
      <c r="S123" s="129"/>
      <c r="T123" s="37"/>
      <c r="U123" s="37"/>
      <c r="V123" s="37"/>
      <c r="W123" s="37"/>
      <c r="X123" s="37"/>
      <c r="Y123" s="37"/>
      <c r="Z123" s="37"/>
      <c r="AA123" s="37"/>
      <c r="AB123" s="37"/>
      <c r="AC123" s="37"/>
    </row>
    <row r="124" spans="2:29" ht="15.75">
      <c r="B124" s="162" t="s">
        <v>321</v>
      </c>
      <c r="C124" s="137"/>
      <c r="D124" s="162" t="s">
        <v>322</v>
      </c>
      <c r="E124" s="137"/>
      <c r="F124" s="137"/>
      <c r="G124" s="137"/>
      <c r="H124" s="137"/>
      <c r="I124" s="137"/>
      <c r="J124" s="137"/>
      <c r="K124" s="137"/>
      <c r="L124" s="137"/>
      <c r="M124" s="143" t="s">
        <v>323</v>
      </c>
      <c r="N124" s="131"/>
      <c r="O124" s="37"/>
      <c r="P124" s="39"/>
      <c r="Q124" s="129"/>
      <c r="R124" s="37"/>
      <c r="S124" s="37"/>
      <c r="T124" s="37"/>
      <c r="U124" s="37"/>
      <c r="V124" s="37"/>
      <c r="W124" s="37"/>
      <c r="X124" s="37"/>
      <c r="Y124" s="37"/>
      <c r="Z124" s="37"/>
      <c r="AA124" s="37"/>
      <c r="AB124" s="37"/>
      <c r="AC124" s="37"/>
    </row>
    <row r="125" spans="2:29" ht="15.75">
      <c r="B125" s="162"/>
      <c r="C125" s="137"/>
      <c r="D125" s="137" t="s">
        <v>324</v>
      </c>
      <c r="E125" s="137"/>
      <c r="F125" s="137"/>
      <c r="G125" s="137"/>
      <c r="H125" s="137"/>
      <c r="I125" s="137"/>
      <c r="J125" s="137"/>
      <c r="K125" s="137"/>
      <c r="L125" s="137" t="s">
        <v>273</v>
      </c>
      <c r="M125" s="143"/>
      <c r="N125" s="131"/>
      <c r="O125" s="37"/>
      <c r="P125" s="37"/>
      <c r="Q125" s="37"/>
      <c r="R125" s="37"/>
      <c r="S125" s="37"/>
      <c r="T125" s="37"/>
      <c r="U125" s="37"/>
      <c r="V125" s="37"/>
      <c r="W125" s="37"/>
      <c r="X125" s="37"/>
      <c r="Y125" s="37"/>
      <c r="Z125" s="37"/>
      <c r="AA125" s="37"/>
      <c r="AB125" s="37"/>
      <c r="AC125" s="37"/>
    </row>
    <row r="126" spans="2:29" ht="15.75">
      <c r="B126" s="137"/>
      <c r="C126" s="137"/>
      <c r="D126" s="137" t="s">
        <v>241</v>
      </c>
      <c r="E126" s="137"/>
      <c r="F126" s="137"/>
      <c r="G126" s="137"/>
      <c r="H126" s="137"/>
      <c r="I126" s="137"/>
      <c r="J126" s="137"/>
      <c r="K126" s="137"/>
      <c r="L126" s="188" t="s">
        <v>273</v>
      </c>
      <c r="M126" s="143"/>
      <c r="N126" s="131"/>
      <c r="O126" s="37"/>
      <c r="P126" s="37"/>
      <c r="Q126" s="37"/>
      <c r="R126" s="37"/>
      <c r="S126" s="37"/>
      <c r="T126" s="37"/>
      <c r="U126" s="37"/>
      <c r="V126" s="37"/>
      <c r="W126" s="37"/>
      <c r="X126" s="37"/>
      <c r="Y126" s="37"/>
      <c r="Z126" s="37"/>
      <c r="AA126" s="37"/>
      <c r="AB126" s="37"/>
      <c r="AC126" s="37"/>
    </row>
    <row r="127" spans="2:29" ht="15.75">
      <c r="B127" s="137"/>
      <c r="C127" s="137"/>
      <c r="D127" s="137" t="s">
        <v>325</v>
      </c>
      <c r="E127" s="137"/>
      <c r="F127" s="137"/>
      <c r="G127" s="137"/>
      <c r="H127" s="137"/>
      <c r="I127" s="137"/>
      <c r="J127" s="137"/>
      <c r="K127" s="137"/>
      <c r="L127" s="188" t="s">
        <v>326</v>
      </c>
      <c r="M127" s="143"/>
      <c r="N127" s="131"/>
      <c r="O127" s="37"/>
      <c r="P127" s="37"/>
      <c r="Q127" s="37"/>
      <c r="R127" s="37"/>
      <c r="S127" s="37"/>
      <c r="T127" s="37"/>
      <c r="U127" s="37"/>
      <c r="V127" s="37"/>
      <c r="W127" s="37"/>
      <c r="X127" s="37"/>
      <c r="Y127" s="37"/>
      <c r="Z127" s="37"/>
      <c r="AA127" s="37"/>
      <c r="AB127" s="37"/>
      <c r="AC127" s="37"/>
    </row>
    <row r="128" spans="2:29" ht="15.75">
      <c r="B128" s="137"/>
      <c r="C128" s="181"/>
      <c r="D128" s="137"/>
      <c r="E128" s="137"/>
      <c r="F128" s="137"/>
      <c r="G128" s="137"/>
      <c r="H128" s="137"/>
      <c r="I128" s="137"/>
      <c r="J128" s="137"/>
      <c r="K128" s="137"/>
      <c r="L128" s="137"/>
      <c r="M128" s="143"/>
      <c r="N128" s="131"/>
      <c r="O128" s="37"/>
      <c r="P128" s="37"/>
      <c r="Q128" s="37"/>
      <c r="R128" s="37"/>
      <c r="S128" s="37"/>
      <c r="T128" s="37"/>
      <c r="U128" s="37"/>
      <c r="V128" s="37"/>
      <c r="W128" s="37"/>
      <c r="X128" s="37"/>
      <c r="Y128" s="37"/>
      <c r="Z128" s="37"/>
      <c r="AA128" s="37"/>
      <c r="AB128" s="37"/>
      <c r="AC128" s="37"/>
    </row>
    <row r="129" spans="2:29" ht="15.75">
      <c r="B129" s="137" t="s">
        <v>8</v>
      </c>
      <c r="C129" s="134"/>
      <c r="D129" s="189" t="s">
        <v>32</v>
      </c>
      <c r="E129" s="190">
        <f>SUM(D5,D10)*10^-6*0.1</f>
        <v>0</v>
      </c>
      <c r="F129" s="191"/>
      <c r="G129" s="137"/>
      <c r="H129" s="137"/>
      <c r="I129" s="137"/>
      <c r="J129" s="137"/>
      <c r="K129" s="137"/>
      <c r="L129" s="188" t="s">
        <v>327</v>
      </c>
      <c r="M129" s="143"/>
      <c r="N129" s="131"/>
      <c r="O129" s="37"/>
      <c r="P129" s="37"/>
      <c r="Q129" s="37"/>
      <c r="R129" s="37"/>
      <c r="S129" s="37"/>
      <c r="T129" s="37"/>
      <c r="U129" s="37"/>
      <c r="V129" s="37"/>
      <c r="W129" s="37"/>
      <c r="X129" s="37"/>
      <c r="Y129" s="37"/>
      <c r="Z129" s="37"/>
      <c r="AA129" s="37"/>
      <c r="AB129" s="37"/>
      <c r="AC129" s="37"/>
    </row>
    <row r="130" spans="2:29" ht="15.75">
      <c r="B130" s="137"/>
      <c r="C130" s="134"/>
      <c r="D130" s="192" t="s">
        <v>33</v>
      </c>
      <c r="E130" s="193">
        <f>SUM(D6,D11)*10^-6*0.1</f>
        <v>0</v>
      </c>
      <c r="F130" s="161"/>
      <c r="G130" s="137"/>
      <c r="H130" s="137"/>
      <c r="I130" s="137"/>
      <c r="J130" s="137"/>
      <c r="K130" s="137"/>
      <c r="L130" s="188" t="s">
        <v>327</v>
      </c>
      <c r="M130" s="143"/>
      <c r="N130" s="131"/>
      <c r="O130" s="39"/>
      <c r="P130" s="37"/>
      <c r="Q130" s="37"/>
      <c r="R130" s="37"/>
      <c r="S130" s="39"/>
      <c r="T130" s="37"/>
      <c r="U130" s="37"/>
      <c r="V130" s="37"/>
      <c r="W130" s="37"/>
      <c r="X130" s="37"/>
      <c r="Y130" s="37"/>
      <c r="Z130" s="37"/>
      <c r="AA130" s="37"/>
      <c r="AB130" s="37"/>
      <c r="AC130" s="37"/>
    </row>
    <row r="131" spans="2:29" ht="15.75">
      <c r="B131" s="137"/>
      <c r="C131" s="134"/>
      <c r="D131" s="192" t="s">
        <v>34</v>
      </c>
      <c r="E131" s="193">
        <f>SUM(D7,D12)*10^-6*0.1</f>
        <v>0</v>
      </c>
      <c r="F131" s="161"/>
      <c r="G131" s="137"/>
      <c r="H131" s="137"/>
      <c r="I131" s="137"/>
      <c r="J131" s="137"/>
      <c r="K131" s="137"/>
      <c r="L131" s="188" t="s">
        <v>327</v>
      </c>
      <c r="M131" s="143"/>
      <c r="N131" s="131"/>
      <c r="O131" s="37"/>
      <c r="P131" s="37"/>
      <c r="Q131" s="37"/>
      <c r="R131" s="37"/>
      <c r="S131" s="37"/>
      <c r="T131" s="37"/>
      <c r="U131" s="37"/>
      <c r="V131" s="37"/>
      <c r="W131" s="37"/>
      <c r="X131" s="37"/>
      <c r="Y131" s="37"/>
      <c r="Z131" s="37"/>
      <c r="AA131" s="37"/>
      <c r="AB131" s="37"/>
      <c r="AC131" s="37"/>
    </row>
    <row r="132" spans="2:29" ht="15.75">
      <c r="B132" s="137"/>
      <c r="C132" s="134"/>
      <c r="D132" s="194" t="s">
        <v>35</v>
      </c>
      <c r="E132" s="195">
        <f>SUM(D8,D13)*10^-6*0.1</f>
        <v>0</v>
      </c>
      <c r="F132" s="196"/>
      <c r="G132" s="137"/>
      <c r="H132" s="137"/>
      <c r="I132" s="137"/>
      <c r="J132" s="137"/>
      <c r="K132" s="137"/>
      <c r="L132" s="188" t="s">
        <v>327</v>
      </c>
      <c r="M132" s="143"/>
      <c r="N132" s="131"/>
      <c r="O132" s="37"/>
      <c r="P132" s="37"/>
      <c r="Q132" s="37"/>
      <c r="R132" s="37"/>
      <c r="S132" s="37"/>
      <c r="T132" s="37"/>
      <c r="U132" s="37"/>
      <c r="V132" s="37"/>
      <c r="W132" s="37"/>
      <c r="X132" s="37"/>
      <c r="Y132" s="37"/>
      <c r="Z132" s="37"/>
      <c r="AA132" s="37"/>
      <c r="AB132" s="37"/>
      <c r="AC132" s="37"/>
    </row>
    <row r="133" spans="2:29" ht="15.75">
      <c r="B133" s="137"/>
      <c r="C133" s="134"/>
      <c r="D133" s="134"/>
      <c r="E133" s="134"/>
      <c r="F133" s="137"/>
      <c r="G133" s="137"/>
      <c r="H133" s="137"/>
      <c r="I133" s="137"/>
      <c r="J133" s="137"/>
      <c r="K133" s="137"/>
      <c r="L133" s="137"/>
      <c r="M133" s="143"/>
      <c r="N133" s="131"/>
      <c r="O133" s="37"/>
      <c r="P133" s="37"/>
      <c r="Q133" s="37"/>
      <c r="R133" s="37"/>
      <c r="S133" s="37"/>
      <c r="T133" s="37"/>
      <c r="U133" s="37"/>
      <c r="V133" s="39"/>
      <c r="W133" s="39"/>
      <c r="X133" s="39"/>
      <c r="Y133" s="39"/>
      <c r="Z133" s="39"/>
      <c r="AA133" s="39"/>
      <c r="AB133" s="37"/>
      <c r="AC133" s="37"/>
    </row>
    <row r="134" spans="2:29" ht="15.75">
      <c r="B134" s="162" t="s">
        <v>328</v>
      </c>
      <c r="C134" s="137"/>
      <c r="D134" s="162" t="s">
        <v>329</v>
      </c>
      <c r="E134" s="137"/>
      <c r="F134" s="137"/>
      <c r="G134" s="137"/>
      <c r="H134" s="137"/>
      <c r="I134" s="137"/>
      <c r="J134" s="137"/>
      <c r="K134" s="137"/>
      <c r="L134" s="137"/>
      <c r="M134" s="143" t="s">
        <v>331</v>
      </c>
      <c r="N134" s="131"/>
      <c r="O134" s="37"/>
      <c r="P134" s="37"/>
      <c r="Q134" s="37"/>
      <c r="R134" s="37"/>
      <c r="S134" s="37"/>
      <c r="T134" s="37"/>
      <c r="U134" s="37"/>
      <c r="V134" s="39"/>
      <c r="W134" s="39"/>
      <c r="X134" s="39"/>
      <c r="Y134" s="39"/>
      <c r="Z134" s="39"/>
      <c r="AA134" s="39"/>
      <c r="AB134" s="37"/>
      <c r="AC134" s="37"/>
    </row>
    <row r="135" spans="2:29" ht="15.75">
      <c r="B135" s="137"/>
      <c r="C135" s="137"/>
      <c r="D135" s="137" t="s">
        <v>330</v>
      </c>
      <c r="E135" s="137"/>
      <c r="F135" s="137"/>
      <c r="G135" s="137"/>
      <c r="H135" s="137">
        <v>0.2</v>
      </c>
      <c r="I135" s="137"/>
      <c r="J135" s="137"/>
      <c r="K135" s="137"/>
      <c r="L135" s="137"/>
      <c r="M135" s="143" t="s">
        <v>332</v>
      </c>
      <c r="N135" s="131"/>
      <c r="O135" s="37"/>
      <c r="P135" s="37"/>
      <c r="Q135" s="37"/>
      <c r="R135" s="37"/>
      <c r="S135" s="37"/>
      <c r="T135" s="37"/>
      <c r="U135" s="37"/>
      <c r="V135" s="39"/>
      <c r="W135" s="39"/>
      <c r="X135" s="39"/>
      <c r="Y135" s="39"/>
      <c r="Z135" s="39"/>
      <c r="AA135" s="39"/>
      <c r="AB135" s="37"/>
      <c r="AC135" s="37"/>
    </row>
    <row r="136" spans="2:29" ht="15.75">
      <c r="B136" s="137"/>
      <c r="C136" s="134"/>
      <c r="D136" s="134"/>
      <c r="E136" s="134"/>
      <c r="F136" s="134"/>
      <c r="G136" s="134"/>
      <c r="H136" s="134"/>
      <c r="I136" s="134"/>
      <c r="J136" s="134"/>
      <c r="K136" s="134"/>
      <c r="L136" s="134"/>
      <c r="M136" s="143"/>
      <c r="O136" s="37"/>
      <c r="P136" s="37"/>
      <c r="Q136" s="37"/>
      <c r="R136" s="37"/>
      <c r="S136" s="37"/>
      <c r="T136" s="37"/>
      <c r="U136" s="37"/>
      <c r="V136" s="44"/>
      <c r="W136" s="39"/>
      <c r="X136" s="39"/>
      <c r="Y136" s="39"/>
      <c r="Z136" s="39"/>
      <c r="AA136" s="39"/>
      <c r="AB136" s="37"/>
      <c r="AC136" s="37"/>
    </row>
    <row r="137" spans="2:29" ht="15.75">
      <c r="B137" s="137"/>
      <c r="C137" s="188" t="s">
        <v>32</v>
      </c>
      <c r="D137" s="186">
        <f>'Nitrous Oxide MMS'!P53*100%*$H$135</f>
        <v>0.00017407327400622552</v>
      </c>
      <c r="E137" s="186">
        <f>'Nitrous Oxide MMS'!Q53*100%*$H$135</f>
        <v>0.00016327617140768653</v>
      </c>
      <c r="F137" s="186">
        <f>'Nitrous Oxide MMS'!R53*100%*$H$135</f>
        <v>0.0004362090684385539</v>
      </c>
      <c r="G137" s="186">
        <f>'Nitrous Oxide MMS'!S53*100%*$H$135</f>
        <v>0.00029825998837188444</v>
      </c>
      <c r="H137" s="186">
        <f>'Nitrous Oxide MMS'!T53*100%*$H$135</f>
        <v>0.001793335457851295</v>
      </c>
      <c r="I137" s="186">
        <f>'Nitrous Oxide MMS'!U53*100%*$H$135</f>
        <v>0.0003717250689705639</v>
      </c>
      <c r="J137" s="186">
        <f>'Nitrous Oxide MMS'!V53*100%*$H$135</f>
        <v>0.000398833068438554</v>
      </c>
      <c r="K137" s="186">
        <f>'Nitrous Oxide MMS'!W53*100%*$H$135</f>
        <v>0.0003991606529852008</v>
      </c>
      <c r="L137" s="134"/>
      <c r="M137" s="143"/>
      <c r="O137" s="37"/>
      <c r="P137" s="37"/>
      <c r="Q137" s="37"/>
      <c r="R137" s="37"/>
      <c r="S137" s="37"/>
      <c r="T137" s="37"/>
      <c r="U137" s="37"/>
      <c r="V137" s="37"/>
      <c r="W137" s="37"/>
      <c r="X137" s="37"/>
      <c r="Y137" s="37"/>
      <c r="Z137" s="37"/>
      <c r="AA137" s="37"/>
      <c r="AB137" s="37"/>
      <c r="AC137" s="37"/>
    </row>
    <row r="138" spans="2:29" ht="15.75">
      <c r="B138" s="186"/>
      <c r="C138" s="188" t="s">
        <v>33</v>
      </c>
      <c r="D138" s="186">
        <f>'Nitrous Oxide MMS'!P54*100%*$H$135</f>
        <v>4.137226991587806E-05</v>
      </c>
      <c r="E138" s="186">
        <f>'Nitrous Oxide MMS'!Q54*100%*$H$135</f>
        <v>3.906781293114124E-05</v>
      </c>
      <c r="F138" s="186">
        <f>'Nitrous Oxide MMS'!R54*100%*$H$135</f>
        <v>0.00013301633878658412</v>
      </c>
      <c r="G138" s="186">
        <f>'Nitrous Oxide MMS'!S54*100%*$H$135</f>
        <v>7.388798890522128E-05</v>
      </c>
      <c r="H138" s="186">
        <f>'Nitrous Oxide MMS'!T54*100%*$H$135</f>
        <v>0.00031294899698630185</v>
      </c>
      <c r="I138" s="186">
        <f>'Nitrous Oxide MMS'!U54*100%*$H$135</f>
        <v>7.071708154923902E-05</v>
      </c>
      <c r="J138" s="186">
        <f>'Nitrous Oxide MMS'!V54*100%*$H$135</f>
        <v>3.198718807388217E-05</v>
      </c>
      <c r="K138" s="186">
        <f>'Nitrous Oxide MMS'!W54*100%*$H$135</f>
        <v>9.793152615454853E-05</v>
      </c>
      <c r="L138" s="134"/>
      <c r="M138" s="157"/>
      <c r="O138" s="37"/>
      <c r="P138" s="37"/>
      <c r="Q138" s="37"/>
      <c r="R138" s="37"/>
      <c r="S138" s="37"/>
      <c r="T138" s="37"/>
      <c r="U138" s="37"/>
      <c r="V138" s="37"/>
      <c r="W138" s="148"/>
      <c r="X138" s="37"/>
      <c r="Y138" s="37"/>
      <c r="Z138" s="37"/>
      <c r="AA138" s="37"/>
      <c r="AB138" s="37"/>
      <c r="AC138" s="37"/>
    </row>
    <row r="139" spans="2:29" ht="15.75">
      <c r="B139" s="137"/>
      <c r="C139" s="188" t="s">
        <v>34</v>
      </c>
      <c r="D139" s="186">
        <f>'Nitrous Oxide MMS'!P55*100%*$H$135</f>
        <v>5.630164677247237E-05</v>
      </c>
      <c r="E139" s="186">
        <f>'Nitrous Oxide MMS'!Q55*100%*$H$135</f>
        <v>2.5772814515514067E-05</v>
      </c>
      <c r="F139" s="186">
        <f>'Nitrous Oxide MMS'!R55*100%*$H$135</f>
        <v>9.906464398776378E-05</v>
      </c>
      <c r="G139" s="186">
        <f>'Nitrous Oxide MMS'!S55*100%*$H$135</f>
        <v>7.977766315141137E-05</v>
      </c>
      <c r="H139" s="186">
        <f>'Nitrous Oxide MMS'!T55*100%*$H$135</f>
        <v>0.00043111312236094115</v>
      </c>
      <c r="I139" s="186">
        <f>'Nitrous Oxide MMS'!U55*100%*$H$135</f>
        <v>6.226278743637433E-05</v>
      </c>
      <c r="J139" s="186">
        <f>'Nitrous Oxide MMS'!V55*100%*$H$135</f>
        <v>3.084432199388189E-05</v>
      </c>
      <c r="K139" s="186">
        <f>'Nitrous Oxide MMS'!W55*100%*$H$135</f>
        <v>0.0001200429157691244</v>
      </c>
      <c r="L139" s="134"/>
      <c r="M139" s="143"/>
      <c r="O139" s="37"/>
      <c r="P139" s="37"/>
      <c r="Q139" s="37"/>
      <c r="R139" s="37"/>
      <c r="S139" s="37"/>
      <c r="T139" s="37"/>
      <c r="U139" s="37"/>
      <c r="V139" s="37"/>
      <c r="W139" s="37"/>
      <c r="X139" s="37"/>
      <c r="Y139" s="37"/>
      <c r="Z139" s="37"/>
      <c r="AA139" s="37"/>
      <c r="AB139" s="37"/>
      <c r="AC139" s="37"/>
    </row>
    <row r="140" spans="2:29" ht="15.75">
      <c r="B140" s="137"/>
      <c r="C140" s="188" t="s">
        <v>35</v>
      </c>
      <c r="D140" s="186">
        <f>'Nitrous Oxide MMS'!P56*100%*$H$135</f>
        <v>0.00012183740817544751</v>
      </c>
      <c r="E140" s="186">
        <f>'Nitrous Oxide MMS'!Q56*100%*$H$135</f>
        <v>8.47296907062739E-05</v>
      </c>
      <c r="F140" s="186">
        <f>'Nitrous Oxide MMS'!R56*100%*$H$135</f>
        <v>0.0002390111731757363</v>
      </c>
      <c r="G140" s="186">
        <f>'Nitrous Oxide MMS'!S56*100%*$H$135</f>
        <v>0.00017822718593584722</v>
      </c>
      <c r="H140" s="186">
        <f>'Nitrous Oxide MMS'!T56*100%*$H$135</f>
        <v>0.0009549050590059007</v>
      </c>
      <c r="I140" s="186">
        <f>'Nitrous Oxide MMS'!U56*100%*$H$135</f>
        <v>0.0002026001077830754</v>
      </c>
      <c r="J140" s="186">
        <f>'Nitrous Oxide MMS'!V56*100%*$H$135</f>
        <v>0.00010081758658786816</v>
      </c>
      <c r="K140" s="186">
        <f>'Nitrous Oxide MMS'!W56*100%*$H$135</f>
        <v>0.0002779982895459811</v>
      </c>
      <c r="L140" s="134"/>
      <c r="M140" s="158"/>
      <c r="O140" s="37"/>
      <c r="P140" s="37"/>
      <c r="Q140" s="37"/>
      <c r="R140" s="37"/>
      <c r="S140" s="37"/>
      <c r="T140" s="37"/>
      <c r="U140" s="37"/>
      <c r="V140" s="45"/>
      <c r="W140" s="45"/>
      <c r="X140" s="45"/>
      <c r="Y140" s="45"/>
      <c r="Z140" s="45"/>
      <c r="AA140" s="45"/>
      <c r="AB140" s="37"/>
      <c r="AC140" s="37"/>
    </row>
    <row r="141" spans="2:29" ht="15.75">
      <c r="B141" s="137"/>
      <c r="C141" s="137"/>
      <c r="D141" s="137"/>
      <c r="E141" s="137"/>
      <c r="F141" s="137"/>
      <c r="G141" s="137"/>
      <c r="H141" s="137"/>
      <c r="I141" s="137"/>
      <c r="J141" s="137"/>
      <c r="K141" s="137"/>
      <c r="L141" s="134"/>
      <c r="M141" s="143"/>
      <c r="O141" s="37"/>
      <c r="P141" s="37"/>
      <c r="Q141" s="37"/>
      <c r="R141" s="37"/>
      <c r="S141" s="37"/>
      <c r="T141" s="37"/>
      <c r="U141" s="37"/>
      <c r="V141" s="37"/>
      <c r="W141" s="37"/>
      <c r="X141" s="37"/>
      <c r="Y141" s="37"/>
      <c r="Z141" s="37"/>
      <c r="AA141" s="37"/>
      <c r="AB141" s="37"/>
      <c r="AC141" s="37"/>
    </row>
    <row r="142" spans="2:29" ht="15.75">
      <c r="B142" s="162" t="s">
        <v>333</v>
      </c>
      <c r="C142" s="137"/>
      <c r="D142" s="140" t="s">
        <v>334</v>
      </c>
      <c r="E142" s="134"/>
      <c r="F142" s="137"/>
      <c r="G142" s="134"/>
      <c r="H142" s="134"/>
      <c r="I142" s="137"/>
      <c r="J142" s="137"/>
      <c r="K142" s="137"/>
      <c r="L142" s="134" t="s">
        <v>273</v>
      </c>
      <c r="M142" s="143" t="s">
        <v>335</v>
      </c>
      <c r="O142" s="37"/>
      <c r="P142" s="37"/>
      <c r="Q142" s="37"/>
      <c r="R142" s="37"/>
      <c r="S142" s="37"/>
      <c r="T142" s="37"/>
      <c r="U142" s="37"/>
      <c r="V142" s="37"/>
      <c r="W142" s="37"/>
      <c r="X142" s="37"/>
      <c r="Y142" s="37"/>
      <c r="Z142" s="37"/>
      <c r="AA142" s="37"/>
      <c r="AB142" s="37"/>
      <c r="AC142" s="37"/>
    </row>
    <row r="143" spans="2:13" ht="15.75">
      <c r="B143" s="137"/>
      <c r="C143" s="137"/>
      <c r="D143" s="134" t="s">
        <v>336</v>
      </c>
      <c r="E143" s="134"/>
      <c r="F143" s="134" t="s">
        <v>337</v>
      </c>
      <c r="G143" s="134"/>
      <c r="H143" s="134"/>
      <c r="I143" s="134"/>
      <c r="J143" s="137"/>
      <c r="K143" s="137"/>
      <c r="L143" s="134"/>
      <c r="M143" s="143" t="s">
        <v>274</v>
      </c>
    </row>
    <row r="144" spans="2:13" ht="15.75">
      <c r="B144" s="137"/>
      <c r="C144" s="137"/>
      <c r="D144" s="134" t="s">
        <v>338</v>
      </c>
      <c r="E144" s="134"/>
      <c r="F144" s="134"/>
      <c r="G144" s="134"/>
      <c r="H144" s="134"/>
      <c r="I144" s="134"/>
      <c r="J144" s="160"/>
      <c r="K144" s="160"/>
      <c r="L144" s="137"/>
      <c r="M144" s="143"/>
    </row>
    <row r="145" spans="2:13" ht="15.75">
      <c r="B145" s="137"/>
      <c r="C145" s="137"/>
      <c r="D145" s="137"/>
      <c r="E145" s="137"/>
      <c r="F145" s="137"/>
      <c r="G145" s="137"/>
      <c r="H145" s="137"/>
      <c r="I145" s="137"/>
      <c r="J145" s="137"/>
      <c r="K145" s="137"/>
      <c r="L145" s="137"/>
      <c r="M145" s="143"/>
    </row>
    <row r="146" spans="2:13" ht="15.75">
      <c r="B146" s="137"/>
      <c r="C146" s="137"/>
      <c r="D146" s="137"/>
      <c r="E146" s="137"/>
      <c r="F146" s="137"/>
      <c r="G146" s="137"/>
      <c r="H146" s="137"/>
      <c r="I146" s="137"/>
      <c r="J146" s="137"/>
      <c r="K146" s="137"/>
      <c r="L146" s="137"/>
      <c r="M146" s="143"/>
    </row>
    <row r="147" spans="2:13" ht="15.75">
      <c r="B147" s="162" t="s">
        <v>339</v>
      </c>
      <c r="C147" s="137"/>
      <c r="D147" s="162" t="s">
        <v>284</v>
      </c>
      <c r="E147" s="137"/>
      <c r="F147" s="137"/>
      <c r="G147" s="137"/>
      <c r="H147" s="137"/>
      <c r="I147" s="137"/>
      <c r="J147" s="137"/>
      <c r="K147" s="137"/>
      <c r="L147" s="137"/>
      <c r="M147" s="143" t="s">
        <v>340</v>
      </c>
    </row>
    <row r="148" spans="2:13" ht="15.75">
      <c r="B148" s="137"/>
      <c r="C148" s="137"/>
      <c r="D148" s="137" t="s">
        <v>341</v>
      </c>
      <c r="E148" s="137"/>
      <c r="F148" s="137"/>
      <c r="G148" s="137"/>
      <c r="H148" s="137"/>
      <c r="I148" s="137"/>
      <c r="J148" s="137"/>
      <c r="K148" s="137"/>
      <c r="L148" s="137" t="s">
        <v>273</v>
      </c>
      <c r="M148" s="143"/>
    </row>
    <row r="149" spans="2:13" ht="15.75">
      <c r="B149" s="137"/>
      <c r="C149" s="137"/>
      <c r="D149" s="137" t="s">
        <v>342</v>
      </c>
      <c r="E149" s="137"/>
      <c r="F149" s="137"/>
      <c r="G149" s="137"/>
      <c r="H149" s="137"/>
      <c r="I149" s="137"/>
      <c r="J149" s="137"/>
      <c r="K149" s="137"/>
      <c r="L149" s="137" t="s">
        <v>251</v>
      </c>
      <c r="M149" s="143"/>
    </row>
    <row r="150" spans="2:13" ht="15.75">
      <c r="B150" s="137"/>
      <c r="C150" s="137"/>
      <c r="D150" s="137"/>
      <c r="E150" s="137"/>
      <c r="F150" s="137"/>
      <c r="G150" s="137"/>
      <c r="H150" s="137"/>
      <c r="I150" s="137"/>
      <c r="J150" s="137"/>
      <c r="K150" s="137"/>
      <c r="L150" s="137"/>
      <c r="M150" s="143"/>
    </row>
    <row r="151" spans="2:13" ht="15.75">
      <c r="B151" s="137" t="s">
        <v>8</v>
      </c>
      <c r="C151" s="137"/>
      <c r="D151" s="189" t="s">
        <v>32</v>
      </c>
      <c r="E151" s="173">
        <f>E129*0.01*$C$17</f>
        <v>0</v>
      </c>
      <c r="F151" s="191"/>
      <c r="G151" s="137"/>
      <c r="H151" s="137"/>
      <c r="I151" s="137"/>
      <c r="J151" s="137"/>
      <c r="K151" s="137"/>
      <c r="L151" s="188" t="s">
        <v>227</v>
      </c>
      <c r="M151" s="143"/>
    </row>
    <row r="152" spans="2:13" ht="15.75">
      <c r="B152" s="137"/>
      <c r="C152" s="137"/>
      <c r="D152" s="192" t="s">
        <v>33</v>
      </c>
      <c r="E152" s="134">
        <f>E130*0.01*$C$17</f>
        <v>0</v>
      </c>
      <c r="F152" s="161"/>
      <c r="G152" s="137"/>
      <c r="H152" s="137"/>
      <c r="I152" s="137"/>
      <c r="J152" s="137"/>
      <c r="K152" s="137"/>
      <c r="L152" s="188" t="s">
        <v>227</v>
      </c>
      <c r="M152" s="143"/>
    </row>
    <row r="153" spans="2:13" ht="15.75">
      <c r="B153" s="137"/>
      <c r="C153" s="137"/>
      <c r="D153" s="192" t="s">
        <v>34</v>
      </c>
      <c r="E153" s="134">
        <f>E131*0.01*$C$17</f>
        <v>0</v>
      </c>
      <c r="F153" s="161"/>
      <c r="G153" s="137"/>
      <c r="H153" s="137"/>
      <c r="I153" s="137"/>
      <c r="J153" s="137"/>
      <c r="K153" s="137"/>
      <c r="L153" s="188" t="s">
        <v>227</v>
      </c>
      <c r="M153" s="143"/>
    </row>
    <row r="154" spans="2:13" ht="15.75">
      <c r="B154" s="137"/>
      <c r="C154" s="137"/>
      <c r="D154" s="194" t="s">
        <v>35</v>
      </c>
      <c r="E154" s="141">
        <f>E132*0.01*$C$17</f>
        <v>0</v>
      </c>
      <c r="F154" s="196"/>
      <c r="G154" s="137"/>
      <c r="H154" s="137"/>
      <c r="I154" s="137"/>
      <c r="J154" s="137"/>
      <c r="K154" s="137"/>
      <c r="L154" s="188" t="s">
        <v>227</v>
      </c>
      <c r="M154" s="143"/>
    </row>
    <row r="155" spans="2:13" ht="15.75">
      <c r="B155" s="137"/>
      <c r="C155" s="137"/>
      <c r="D155" s="137"/>
      <c r="E155" s="137"/>
      <c r="F155" s="137"/>
      <c r="G155" s="137"/>
      <c r="H155" s="137"/>
      <c r="I155" s="137"/>
      <c r="J155" s="137"/>
      <c r="K155" s="137"/>
      <c r="L155" s="137"/>
      <c r="M155" s="143"/>
    </row>
    <row r="156" spans="2:13" ht="15.75">
      <c r="B156" s="137" t="s">
        <v>10</v>
      </c>
      <c r="C156" s="188" t="s">
        <v>32</v>
      </c>
      <c r="D156" s="187">
        <f>D137*0.01*$C$17</f>
        <v>2.735437162954972E-06</v>
      </c>
      <c r="E156" s="187">
        <f aca="true" t="shared" si="8" ref="E156:K156">E137*0.01*$C$17</f>
        <v>2.565768407835074E-06</v>
      </c>
      <c r="F156" s="187">
        <f t="shared" si="8"/>
        <v>6.854713932605846E-06</v>
      </c>
      <c r="G156" s="187">
        <f t="shared" si="8"/>
        <v>4.686942674415327E-06</v>
      </c>
      <c r="H156" s="187">
        <f t="shared" si="8"/>
        <v>2.8180985766234636E-05</v>
      </c>
      <c r="I156" s="187">
        <f t="shared" si="8"/>
        <v>5.841393940966004E-06</v>
      </c>
      <c r="J156" s="187">
        <f t="shared" si="8"/>
        <v>6.267376789748706E-06</v>
      </c>
      <c r="K156" s="187">
        <f t="shared" si="8"/>
        <v>6.272524546910298E-06</v>
      </c>
      <c r="L156" s="188" t="s">
        <v>227</v>
      </c>
      <c r="M156" s="143"/>
    </row>
    <row r="157" spans="2:13" ht="15.75">
      <c r="B157" s="137"/>
      <c r="C157" s="188" t="s">
        <v>33</v>
      </c>
      <c r="D157" s="187">
        <f aca="true" t="shared" si="9" ref="D157:K157">D138*0.01*$C$17</f>
        <v>6.501356701066553E-07</v>
      </c>
      <c r="E157" s="187">
        <f t="shared" si="9"/>
        <v>6.139227746322194E-07</v>
      </c>
      <c r="F157" s="187">
        <f t="shared" si="9"/>
        <v>2.0902567523606073E-06</v>
      </c>
      <c r="G157" s="187">
        <f t="shared" si="9"/>
        <v>1.16109696851062E-06</v>
      </c>
      <c r="H157" s="187">
        <f t="shared" si="9"/>
        <v>4.917769952641887E-06</v>
      </c>
      <c r="I157" s="187">
        <f t="shared" si="9"/>
        <v>1.1112684243451846E-06</v>
      </c>
      <c r="J157" s="187">
        <f t="shared" si="9"/>
        <v>5.026558125895769E-07</v>
      </c>
      <c r="K157" s="187">
        <f t="shared" si="9"/>
        <v>1.5389239824286196E-06</v>
      </c>
      <c r="L157" s="188" t="s">
        <v>227</v>
      </c>
      <c r="M157" s="143"/>
    </row>
    <row r="158" spans="2:13" ht="15.75">
      <c r="B158" s="187"/>
      <c r="C158" s="188" t="s">
        <v>34</v>
      </c>
      <c r="D158" s="187">
        <f aca="true" t="shared" si="10" ref="D158:K158">D139*0.01*$C$17</f>
        <v>8.847401635674231E-07</v>
      </c>
      <c r="E158" s="187">
        <f t="shared" si="10"/>
        <v>4.0500137095807815E-07</v>
      </c>
      <c r="F158" s="187">
        <f t="shared" si="10"/>
        <v>1.5567301198077166E-06</v>
      </c>
      <c r="G158" s="187">
        <f t="shared" si="10"/>
        <v>1.2536489923793215E-06</v>
      </c>
      <c r="H158" s="187">
        <f t="shared" si="10"/>
        <v>6.774634779957647E-06</v>
      </c>
      <c r="I158" s="187">
        <f t="shared" si="10"/>
        <v>9.784152311430252E-07</v>
      </c>
      <c r="J158" s="187">
        <f t="shared" si="10"/>
        <v>4.846964884752868E-07</v>
      </c>
      <c r="K158" s="187">
        <f t="shared" si="10"/>
        <v>1.8863886763719549E-06</v>
      </c>
      <c r="L158" s="188" t="s">
        <v>227</v>
      </c>
      <c r="M158" s="157"/>
    </row>
    <row r="159" spans="2:13" ht="15.75">
      <c r="B159" s="137"/>
      <c r="C159" s="188" t="s">
        <v>35</v>
      </c>
      <c r="D159" s="187">
        <f aca="true" t="shared" si="11" ref="D159:K159">D140*0.01*$C$17</f>
        <v>1.9145878427570323E-06</v>
      </c>
      <c r="E159" s="187">
        <f t="shared" si="11"/>
        <v>1.331466568241447E-06</v>
      </c>
      <c r="F159" s="187">
        <f t="shared" si="11"/>
        <v>3.755889864190142E-06</v>
      </c>
      <c r="G159" s="187">
        <f t="shared" si="11"/>
        <v>2.8007129218490276E-06</v>
      </c>
      <c r="H159" s="187">
        <f t="shared" si="11"/>
        <v>1.5005650927235582E-05</v>
      </c>
      <c r="I159" s="187">
        <f t="shared" si="11"/>
        <v>3.1837159794483275E-06</v>
      </c>
      <c r="J159" s="187">
        <f t="shared" si="11"/>
        <v>1.5842763606664998E-06</v>
      </c>
      <c r="K159" s="187">
        <f t="shared" si="11"/>
        <v>4.3685445500082745E-06</v>
      </c>
      <c r="L159" s="188" t="s">
        <v>227</v>
      </c>
      <c r="M159" s="143"/>
    </row>
    <row r="160" spans="2:13" ht="15.75">
      <c r="B160" s="137"/>
      <c r="C160" s="137"/>
      <c r="D160" s="137"/>
      <c r="E160" s="137"/>
      <c r="F160" s="137"/>
      <c r="G160" s="137"/>
      <c r="H160" s="137"/>
      <c r="I160" s="137"/>
      <c r="J160" s="137"/>
      <c r="K160" s="137"/>
      <c r="L160" s="137"/>
      <c r="M160" s="143"/>
    </row>
    <row r="161" spans="2:13" ht="15.75">
      <c r="B161" s="162" t="s">
        <v>86</v>
      </c>
      <c r="C161" s="137"/>
      <c r="D161" s="189" t="s">
        <v>32</v>
      </c>
      <c r="E161" s="197">
        <f>E151+SUM(D156:K156)</f>
        <v>6.340514322167086E-05</v>
      </c>
      <c r="F161" s="191"/>
      <c r="G161" s="137"/>
      <c r="H161" s="137"/>
      <c r="I161" s="137"/>
      <c r="J161" s="137"/>
      <c r="K161" s="137"/>
      <c r="L161" s="188" t="s">
        <v>227</v>
      </c>
      <c r="M161" s="143"/>
    </row>
    <row r="162" spans="2:13" ht="15.75">
      <c r="B162" s="137"/>
      <c r="C162" s="137"/>
      <c r="D162" s="192" t="s">
        <v>33</v>
      </c>
      <c r="E162" s="198">
        <f>E152+SUM(D157:K157)</f>
        <v>1.2586030337615369E-05</v>
      </c>
      <c r="F162" s="161"/>
      <c r="G162" s="137"/>
      <c r="H162" s="137"/>
      <c r="I162" s="137"/>
      <c r="J162" s="137"/>
      <c r="K162" s="137"/>
      <c r="L162" s="188" t="s">
        <v>227</v>
      </c>
      <c r="M162" s="143"/>
    </row>
    <row r="163" spans="2:13" ht="15.75">
      <c r="B163" s="137"/>
      <c r="C163" s="137"/>
      <c r="D163" s="192" t="s">
        <v>34</v>
      </c>
      <c r="E163" s="198">
        <f>E153+SUM(D158:K158)</f>
        <v>1.4224255822660452E-05</v>
      </c>
      <c r="F163" s="161"/>
      <c r="G163" s="137"/>
      <c r="H163" s="137"/>
      <c r="I163" s="137"/>
      <c r="J163" s="137"/>
      <c r="K163" s="137"/>
      <c r="L163" s="188" t="s">
        <v>227</v>
      </c>
      <c r="M163" s="143"/>
    </row>
    <row r="164" spans="2:13" ht="15.75">
      <c r="B164" s="137"/>
      <c r="C164" s="137"/>
      <c r="D164" s="194" t="s">
        <v>35</v>
      </c>
      <c r="E164" s="199">
        <f>E154+SUM(D159:K159)</f>
        <v>3.394484501439633E-05</v>
      </c>
      <c r="F164" s="196"/>
      <c r="G164" s="137"/>
      <c r="H164" s="137"/>
      <c r="I164" s="137"/>
      <c r="J164" s="137"/>
      <c r="K164" s="137"/>
      <c r="L164" s="188" t="s">
        <v>227</v>
      </c>
      <c r="M164" s="143"/>
    </row>
    <row r="165" spans="2:13" ht="15.75">
      <c r="B165" s="137"/>
      <c r="C165" s="137"/>
      <c r="D165" s="137"/>
      <c r="E165" s="137"/>
      <c r="F165" s="137"/>
      <c r="G165" s="137"/>
      <c r="H165" s="137"/>
      <c r="I165" s="137"/>
      <c r="J165" s="137"/>
      <c r="K165" s="137"/>
      <c r="L165" s="137"/>
      <c r="M165" s="143"/>
    </row>
    <row r="166" spans="2:13" ht="15.75">
      <c r="B166" s="162" t="s">
        <v>125</v>
      </c>
      <c r="C166" s="137"/>
      <c r="D166" s="187">
        <f>SUM(E161:E164)</f>
        <v>0.000124160274396343</v>
      </c>
      <c r="E166" s="137"/>
      <c r="F166" s="137"/>
      <c r="G166" s="137"/>
      <c r="H166" s="137"/>
      <c r="I166" s="137"/>
      <c r="J166" s="137"/>
      <c r="K166" s="137"/>
      <c r="L166" s="188" t="s">
        <v>234</v>
      </c>
      <c r="M166" s="143"/>
    </row>
    <row r="167" spans="2:13" ht="15.75">
      <c r="B167" s="162" t="s">
        <v>343</v>
      </c>
      <c r="C167" s="137"/>
      <c r="D167" s="187">
        <f>D166*310</f>
        <v>0.03848968506286633</v>
      </c>
      <c r="E167" s="137"/>
      <c r="F167" s="137"/>
      <c r="G167" s="137"/>
      <c r="H167" s="137"/>
      <c r="I167" s="137"/>
      <c r="J167" s="137"/>
      <c r="K167" s="137"/>
      <c r="L167" s="188" t="s">
        <v>181</v>
      </c>
      <c r="M167" s="143"/>
    </row>
    <row r="168" spans="2:13" ht="15.75">
      <c r="B168" s="137"/>
      <c r="C168" s="137"/>
      <c r="D168" s="137"/>
      <c r="E168" s="137"/>
      <c r="F168" s="137"/>
      <c r="G168" s="137"/>
      <c r="H168" s="137"/>
      <c r="I168" s="137"/>
      <c r="J168" s="137"/>
      <c r="K168" s="137"/>
      <c r="L168" s="137"/>
      <c r="M168" s="143"/>
    </row>
    <row r="169" spans="2:13" ht="15.75">
      <c r="B169" s="137"/>
      <c r="C169" s="137"/>
      <c r="D169" s="137"/>
      <c r="E169" s="137"/>
      <c r="F169" s="137"/>
      <c r="G169" s="137"/>
      <c r="H169" s="137"/>
      <c r="I169" s="137"/>
      <c r="J169" s="137"/>
      <c r="K169" s="137"/>
      <c r="L169" s="137"/>
      <c r="M169" s="143"/>
    </row>
    <row r="170" spans="2:13" ht="15.75">
      <c r="B170" s="162" t="s">
        <v>344</v>
      </c>
      <c r="C170" s="137"/>
      <c r="D170" s="137"/>
      <c r="E170" s="137"/>
      <c r="F170" s="137"/>
      <c r="G170" s="137"/>
      <c r="H170" s="137"/>
      <c r="I170" s="137"/>
      <c r="J170" s="160"/>
      <c r="K170" s="160"/>
      <c r="L170" s="137"/>
      <c r="M170" s="143"/>
    </row>
    <row r="171" spans="2:13" ht="15.75">
      <c r="B171" s="162" t="s">
        <v>345</v>
      </c>
      <c r="C171" s="137"/>
      <c r="D171" s="162" t="s">
        <v>346</v>
      </c>
      <c r="E171" s="137"/>
      <c r="F171" s="137"/>
      <c r="G171" s="137"/>
      <c r="H171" s="137"/>
      <c r="I171" s="137"/>
      <c r="J171" s="137"/>
      <c r="K171" s="137"/>
      <c r="L171" s="137"/>
      <c r="M171" s="143" t="s">
        <v>347</v>
      </c>
    </row>
    <row r="172" spans="2:13" ht="15.75">
      <c r="B172" s="137"/>
      <c r="C172" s="137"/>
      <c r="D172" s="137" t="s">
        <v>348</v>
      </c>
      <c r="E172" s="137"/>
      <c r="F172" s="137"/>
      <c r="G172" s="137"/>
      <c r="H172" s="137"/>
      <c r="I172" s="137"/>
      <c r="J172" s="137"/>
      <c r="K172" s="137"/>
      <c r="L172" s="137" t="s">
        <v>273</v>
      </c>
      <c r="M172" s="143"/>
    </row>
    <row r="173" spans="2:13" ht="15.75">
      <c r="B173" s="137"/>
      <c r="C173" s="137"/>
      <c r="D173" s="137" t="s">
        <v>351</v>
      </c>
      <c r="E173" s="137"/>
      <c r="F173" s="137"/>
      <c r="G173" s="137"/>
      <c r="H173" s="182">
        <f>IF('Data input'!O10="Y",0,1)</f>
        <v>1</v>
      </c>
      <c r="I173" s="137"/>
      <c r="J173" s="137"/>
      <c r="K173" s="137"/>
      <c r="L173" s="137"/>
      <c r="M173" s="143" t="s">
        <v>349</v>
      </c>
    </row>
    <row r="174" spans="2:13" ht="15.75">
      <c r="B174" s="137"/>
      <c r="C174" s="137"/>
      <c r="D174" s="137" t="s">
        <v>352</v>
      </c>
      <c r="E174" s="137"/>
      <c r="F174" s="137"/>
      <c r="G174" s="137"/>
      <c r="H174" s="182">
        <f>0.3</f>
        <v>0.3</v>
      </c>
      <c r="I174" s="137"/>
      <c r="J174" s="137"/>
      <c r="K174" s="137"/>
      <c r="L174" s="137" t="s">
        <v>326</v>
      </c>
      <c r="M174" s="143"/>
    </row>
    <row r="175" spans="2:13" ht="15.75">
      <c r="B175" s="137"/>
      <c r="C175" s="137"/>
      <c r="D175" s="137"/>
      <c r="E175" s="137"/>
      <c r="F175" s="137"/>
      <c r="G175" s="137"/>
      <c r="H175" s="137"/>
      <c r="I175" s="137"/>
      <c r="J175" s="137"/>
      <c r="K175" s="137"/>
      <c r="L175" s="137"/>
      <c r="M175" s="143"/>
    </row>
    <row r="176" spans="2:13" ht="15.75">
      <c r="B176" s="137"/>
      <c r="C176" s="137"/>
      <c r="D176" s="189" t="s">
        <v>32</v>
      </c>
      <c r="E176" s="310">
        <f>SUM(D23,D28)*$H$173*$H$174</f>
        <v>0</v>
      </c>
      <c r="F176" s="191"/>
      <c r="G176" s="137"/>
      <c r="H176" s="137"/>
      <c r="I176" s="137"/>
      <c r="J176" s="137"/>
      <c r="K176" s="137"/>
      <c r="L176" s="137"/>
      <c r="M176" s="143"/>
    </row>
    <row r="177" spans="2:13" ht="15.75">
      <c r="B177" s="137"/>
      <c r="C177" s="137"/>
      <c r="D177" s="192" t="s">
        <v>33</v>
      </c>
      <c r="E177" s="311">
        <f>SUM(D24,D29)*$H$173*$H$174</f>
        <v>0</v>
      </c>
      <c r="F177" s="161"/>
      <c r="G177" s="137"/>
      <c r="H177" s="137"/>
      <c r="I177" s="137"/>
      <c r="J177" s="137"/>
      <c r="K177" s="137"/>
      <c r="L177" s="137"/>
      <c r="M177" s="143"/>
    </row>
    <row r="178" spans="2:13" ht="15.75">
      <c r="B178" s="137"/>
      <c r="C178" s="137"/>
      <c r="D178" s="192" t="s">
        <v>34</v>
      </c>
      <c r="E178" s="311">
        <f>SUM(D25,D30)*$H$173*$H$174</f>
        <v>0</v>
      </c>
      <c r="F178" s="161"/>
      <c r="G178" s="137"/>
      <c r="H178" s="137"/>
      <c r="I178" s="137"/>
      <c r="J178" s="137"/>
      <c r="K178" s="137"/>
      <c r="L178" s="137"/>
      <c r="M178" s="143"/>
    </row>
    <row r="179" spans="2:13" ht="15.75">
      <c r="B179" s="137"/>
      <c r="C179" s="137"/>
      <c r="D179" s="194" t="s">
        <v>35</v>
      </c>
      <c r="E179" s="312">
        <f>SUM(D26,D31)*$H$173*$H$174</f>
        <v>0</v>
      </c>
      <c r="F179" s="196"/>
      <c r="G179" s="137"/>
      <c r="H179" s="137"/>
      <c r="I179" s="137"/>
      <c r="J179" s="137"/>
      <c r="K179" s="137"/>
      <c r="L179" s="137"/>
      <c r="M179" s="143"/>
    </row>
    <row r="180" spans="2:13" ht="15.75">
      <c r="B180" s="137"/>
      <c r="C180" s="137"/>
      <c r="D180" s="137"/>
      <c r="E180" s="137"/>
      <c r="F180" s="137"/>
      <c r="G180" s="137"/>
      <c r="H180" s="137"/>
      <c r="I180" s="137"/>
      <c r="J180" s="137"/>
      <c r="K180" s="137"/>
      <c r="L180" s="137"/>
      <c r="M180" s="143"/>
    </row>
    <row r="181" spans="2:13" ht="15.75">
      <c r="B181" s="162" t="s">
        <v>353</v>
      </c>
      <c r="C181" s="137"/>
      <c r="D181" s="137"/>
      <c r="E181" s="137"/>
      <c r="F181" s="137"/>
      <c r="G181" s="137"/>
      <c r="H181" s="137"/>
      <c r="I181" s="137"/>
      <c r="J181" s="137"/>
      <c r="K181" s="137"/>
      <c r="L181" s="137"/>
      <c r="M181" s="143"/>
    </row>
    <row r="182" spans="2:13" ht="15.75">
      <c r="B182" s="137"/>
      <c r="C182" s="137"/>
      <c r="D182" s="162" t="s">
        <v>354</v>
      </c>
      <c r="E182" s="137"/>
      <c r="F182" s="137"/>
      <c r="G182" s="137"/>
      <c r="H182" s="137"/>
      <c r="I182" s="137"/>
      <c r="J182" s="137"/>
      <c r="K182" s="137"/>
      <c r="L182" s="137" t="s">
        <v>327</v>
      </c>
      <c r="M182" s="143" t="s">
        <v>355</v>
      </c>
    </row>
    <row r="183" spans="2:13" ht="15.75">
      <c r="B183" s="137"/>
      <c r="C183" s="137"/>
      <c r="D183" s="137" t="s">
        <v>356</v>
      </c>
      <c r="E183" s="137"/>
      <c r="F183" s="137"/>
      <c r="G183" s="137"/>
      <c r="H183" s="137"/>
      <c r="I183" s="137"/>
      <c r="J183" s="137"/>
      <c r="K183" s="137"/>
      <c r="L183" s="137" t="s">
        <v>327</v>
      </c>
      <c r="M183" s="143"/>
    </row>
    <row r="184" spans="2:13" ht="15.75">
      <c r="B184" s="137"/>
      <c r="C184" s="137"/>
      <c r="D184" s="137" t="s">
        <v>357</v>
      </c>
      <c r="E184" s="137"/>
      <c r="F184" s="137"/>
      <c r="G184" s="137"/>
      <c r="H184" s="137"/>
      <c r="I184" s="137"/>
      <c r="J184" s="137"/>
      <c r="K184" s="137"/>
      <c r="L184" s="137" t="s">
        <v>327</v>
      </c>
      <c r="M184" s="143"/>
    </row>
    <row r="185" spans="2:13" ht="15.75">
      <c r="B185" s="137"/>
      <c r="C185" s="137"/>
      <c r="D185" s="137" t="s">
        <v>358</v>
      </c>
      <c r="E185" s="137"/>
      <c r="F185" s="137"/>
      <c r="G185" s="137"/>
      <c r="H185" s="137"/>
      <c r="I185" s="137"/>
      <c r="J185" s="137"/>
      <c r="K185" s="137"/>
      <c r="L185" s="137" t="s">
        <v>327</v>
      </c>
      <c r="M185" s="143"/>
    </row>
    <row r="186" spans="2:13" ht="15.75">
      <c r="B186" s="137"/>
      <c r="C186" s="137"/>
      <c r="D186" s="137"/>
      <c r="E186" s="137"/>
      <c r="F186" s="137"/>
      <c r="G186" s="137"/>
      <c r="H186" s="137"/>
      <c r="I186" s="137"/>
      <c r="J186" s="137"/>
      <c r="K186" s="137"/>
      <c r="L186" s="137"/>
      <c r="M186" s="143"/>
    </row>
    <row r="187" spans="2:13" ht="15.75">
      <c r="B187" s="137"/>
      <c r="C187" s="188" t="s">
        <v>32</v>
      </c>
      <c r="D187" s="200">
        <f>SUM($F$55,D99,D93)*$H$173*$H$174</f>
        <v>0.00026110991100933826</v>
      </c>
      <c r="E187" s="200">
        <f aca="true" t="shared" si="12" ref="E187:K187">SUM($F$55,E99,E93)*$H$173*$H$174</f>
        <v>0.00024491425711152976</v>
      </c>
      <c r="F187" s="200">
        <f t="shared" si="12"/>
        <v>0.0006543136026578308</v>
      </c>
      <c r="G187" s="200">
        <f t="shared" si="12"/>
        <v>0.0004473899825578266</v>
      </c>
      <c r="H187" s="200">
        <f t="shared" si="12"/>
        <v>0.0026900031867769423</v>
      </c>
      <c r="I187" s="200">
        <f t="shared" si="12"/>
        <v>0.0005575876034558457</v>
      </c>
      <c r="J187" s="200">
        <f t="shared" si="12"/>
        <v>0.0005982496026578309</v>
      </c>
      <c r="K187" s="200">
        <f t="shared" si="12"/>
        <v>0.0005987409794778011</v>
      </c>
      <c r="L187" s="137" t="s">
        <v>327</v>
      </c>
      <c r="M187" s="143"/>
    </row>
    <row r="188" spans="2:13" ht="15.75">
      <c r="B188" s="137"/>
      <c r="C188" s="188" t="s">
        <v>33</v>
      </c>
      <c r="D188" s="200">
        <f aca="true" t="shared" si="13" ref="D188:K188">SUM($F$55,D100,D94)*$H$173*$H$174</f>
        <v>6.205840487381708E-05</v>
      </c>
      <c r="E188" s="200">
        <f t="shared" si="13"/>
        <v>5.860171939671184E-05</v>
      </c>
      <c r="F188" s="200">
        <f t="shared" si="13"/>
        <v>0.00019952450817987616</v>
      </c>
      <c r="G188" s="200">
        <f t="shared" si="13"/>
        <v>0.0001108319833578319</v>
      </c>
      <c r="H188" s="200">
        <f t="shared" si="13"/>
        <v>0.00046942349547945267</v>
      </c>
      <c r="I188" s="200">
        <f t="shared" si="13"/>
        <v>0.00010607562232385853</v>
      </c>
      <c r="J188" s="200">
        <f t="shared" si="13"/>
        <v>4.798078211082325E-05</v>
      </c>
      <c r="K188" s="200">
        <f t="shared" si="13"/>
        <v>0.0001468972892318228</v>
      </c>
      <c r="L188" s="137" t="s">
        <v>327</v>
      </c>
      <c r="M188" s="143"/>
    </row>
    <row r="189" spans="2:13" ht="15.75">
      <c r="B189" s="137"/>
      <c r="C189" s="188" t="s">
        <v>34</v>
      </c>
      <c r="D189" s="200">
        <f aca="true" t="shared" si="14" ref="D189:K189">SUM($F$55,D101,D95)*$H$173*$H$174</f>
        <v>8.445247015870855E-05</v>
      </c>
      <c r="E189" s="200">
        <f t="shared" si="14"/>
        <v>3.86592217732711E-05</v>
      </c>
      <c r="F189" s="200">
        <f t="shared" si="14"/>
        <v>0.00014859696598164566</v>
      </c>
      <c r="G189" s="200">
        <f t="shared" si="14"/>
        <v>0.00011966649472711704</v>
      </c>
      <c r="H189" s="200">
        <f t="shared" si="14"/>
        <v>0.0006466696835414117</v>
      </c>
      <c r="I189" s="200">
        <f t="shared" si="14"/>
        <v>9.339418115456148E-05</v>
      </c>
      <c r="J189" s="200">
        <f t="shared" si="14"/>
        <v>4.626648299082282E-05</v>
      </c>
      <c r="K189" s="200">
        <f t="shared" si="14"/>
        <v>0.0001800643736536866</v>
      </c>
      <c r="L189" s="137" t="s">
        <v>327</v>
      </c>
      <c r="M189" s="143"/>
    </row>
    <row r="190" spans="2:13" ht="15.75">
      <c r="B190" s="137"/>
      <c r="C190" s="188" t="s">
        <v>35</v>
      </c>
      <c r="D190" s="200">
        <f aca="true" t="shared" si="15" ref="D190:K190">SUM($F$55,D102,D96)*$H$173*$H$174</f>
        <v>0.00018275611226317126</v>
      </c>
      <c r="E190" s="200">
        <f t="shared" si="15"/>
        <v>0.00012709453605941082</v>
      </c>
      <c r="F190" s="200">
        <f t="shared" si="15"/>
        <v>0.00035851675976360443</v>
      </c>
      <c r="G190" s="200">
        <f t="shared" si="15"/>
        <v>0.0002673407789037708</v>
      </c>
      <c r="H190" s="200">
        <f t="shared" si="15"/>
        <v>0.001432357588508851</v>
      </c>
      <c r="I190" s="200">
        <f t="shared" si="15"/>
        <v>0.00030390016167461306</v>
      </c>
      <c r="J190" s="200">
        <f t="shared" si="15"/>
        <v>0.00015122637988180222</v>
      </c>
      <c r="K190" s="200">
        <f t="shared" si="15"/>
        <v>0.0004169974343189716</v>
      </c>
      <c r="L190" s="137" t="s">
        <v>327</v>
      </c>
      <c r="M190" s="143"/>
    </row>
    <row r="191" spans="2:13" ht="15.75">
      <c r="B191" s="137"/>
      <c r="C191" s="137"/>
      <c r="D191" s="137"/>
      <c r="E191" s="137"/>
      <c r="F191" s="137"/>
      <c r="G191" s="137"/>
      <c r="H191" s="137"/>
      <c r="I191" s="137"/>
      <c r="J191" s="137"/>
      <c r="K191" s="137"/>
      <c r="L191" s="137"/>
      <c r="M191" s="143"/>
    </row>
    <row r="192" spans="2:13" ht="15.75">
      <c r="B192" s="162" t="s">
        <v>361</v>
      </c>
      <c r="C192" s="137"/>
      <c r="D192" s="162" t="s">
        <v>284</v>
      </c>
      <c r="E192" s="137"/>
      <c r="F192" s="137"/>
      <c r="G192" s="137"/>
      <c r="H192" s="137"/>
      <c r="I192" s="137"/>
      <c r="J192" s="137"/>
      <c r="K192" s="137"/>
      <c r="L192" s="137"/>
      <c r="M192" s="143" t="s">
        <v>362</v>
      </c>
    </row>
    <row r="193" spans="2:13" ht="15.75">
      <c r="B193" s="137"/>
      <c r="C193" s="137"/>
      <c r="D193" s="137" t="s">
        <v>363</v>
      </c>
      <c r="E193" s="137"/>
      <c r="F193" s="137"/>
      <c r="G193" s="137"/>
      <c r="H193" s="137"/>
      <c r="I193" s="137"/>
      <c r="J193" s="137"/>
      <c r="K193" s="137"/>
      <c r="L193" s="137" t="s">
        <v>273</v>
      </c>
      <c r="M193" s="143"/>
    </row>
    <row r="194" spans="2:13" ht="15.75">
      <c r="B194" s="137"/>
      <c r="C194" s="137"/>
      <c r="D194" s="137" t="s">
        <v>364</v>
      </c>
      <c r="E194" s="137"/>
      <c r="F194" s="137"/>
      <c r="G194" s="137"/>
      <c r="H194" s="137">
        <f>0.0125</f>
        <v>0.0125</v>
      </c>
      <c r="I194" s="137"/>
      <c r="J194" s="137"/>
      <c r="K194" s="137"/>
      <c r="L194" s="137" t="s">
        <v>251</v>
      </c>
      <c r="M194" s="143"/>
    </row>
    <row r="195" spans="2:13" ht="15.75">
      <c r="B195" s="137"/>
      <c r="C195" s="137"/>
      <c r="D195" s="137"/>
      <c r="E195" s="137"/>
      <c r="F195" s="137"/>
      <c r="G195" s="137"/>
      <c r="H195" s="137"/>
      <c r="I195" s="137"/>
      <c r="J195" s="137"/>
      <c r="K195" s="137"/>
      <c r="L195" s="137"/>
      <c r="M195" s="143"/>
    </row>
    <row r="196" spans="2:13" ht="15.75">
      <c r="B196" s="137" t="s">
        <v>8</v>
      </c>
      <c r="C196" s="137"/>
      <c r="D196" s="189" t="s">
        <v>32</v>
      </c>
      <c r="E196" s="201">
        <f>E176*$H$194*$C$17</f>
        <v>0</v>
      </c>
      <c r="F196" s="191"/>
      <c r="G196" s="137"/>
      <c r="H196" s="137"/>
      <c r="I196" s="137"/>
      <c r="J196" s="137"/>
      <c r="K196" s="137"/>
      <c r="L196" s="137" t="s">
        <v>227</v>
      </c>
      <c r="M196" s="143"/>
    </row>
    <row r="197" spans="2:13" ht="15.75">
      <c r="B197" s="137"/>
      <c r="C197" s="137"/>
      <c r="D197" s="192" t="s">
        <v>33</v>
      </c>
      <c r="E197" s="202">
        <f>E177*$H$194*$C$17</f>
        <v>0</v>
      </c>
      <c r="F197" s="161"/>
      <c r="G197" s="137"/>
      <c r="H197" s="137"/>
      <c r="I197" s="137"/>
      <c r="J197" s="137"/>
      <c r="K197" s="137"/>
      <c r="L197" s="137" t="s">
        <v>227</v>
      </c>
      <c r="M197" s="143"/>
    </row>
    <row r="198" spans="2:13" ht="15.75">
      <c r="B198" s="137"/>
      <c r="C198" s="137"/>
      <c r="D198" s="192" t="s">
        <v>34</v>
      </c>
      <c r="E198" s="202">
        <f>E178*$H$194*$C$17</f>
        <v>0</v>
      </c>
      <c r="F198" s="161"/>
      <c r="G198" s="137"/>
      <c r="H198" s="137"/>
      <c r="I198" s="137"/>
      <c r="J198" s="137"/>
      <c r="K198" s="137"/>
      <c r="L198" s="137" t="s">
        <v>227</v>
      </c>
      <c r="M198" s="143"/>
    </row>
    <row r="199" spans="2:13" ht="15.75">
      <c r="B199" s="137"/>
      <c r="C199" s="137"/>
      <c r="D199" s="194" t="s">
        <v>35</v>
      </c>
      <c r="E199" s="203">
        <f>E179*$H$194*$C$17</f>
        <v>0</v>
      </c>
      <c r="F199" s="196"/>
      <c r="G199" s="137"/>
      <c r="H199" s="137"/>
      <c r="I199" s="137"/>
      <c r="J199" s="137"/>
      <c r="K199" s="137"/>
      <c r="L199" s="137" t="s">
        <v>227</v>
      </c>
      <c r="M199" s="143"/>
    </row>
    <row r="200" spans="2:13" ht="15.75">
      <c r="B200" s="137"/>
      <c r="C200" s="137"/>
      <c r="D200" s="137"/>
      <c r="E200" s="137"/>
      <c r="F200" s="137"/>
      <c r="G200" s="137"/>
      <c r="H200" s="137"/>
      <c r="I200" s="137"/>
      <c r="J200" s="137"/>
      <c r="K200" s="137"/>
      <c r="L200" s="137"/>
      <c r="M200" s="143"/>
    </row>
    <row r="201" spans="2:13" ht="15.75">
      <c r="B201" s="137" t="s">
        <v>10</v>
      </c>
      <c r="C201" s="188" t="s">
        <v>32</v>
      </c>
      <c r="D201" s="184">
        <f>D187*$H$194*$C$17</f>
        <v>5.1289446805405735E-06</v>
      </c>
      <c r="E201" s="184">
        <f aca="true" t="shared" si="16" ref="E201:K201">E187*$H$194*$C$17</f>
        <v>4.810815764690764E-06</v>
      </c>
      <c r="F201" s="184">
        <f t="shared" si="16"/>
        <v>1.2852588623635963E-05</v>
      </c>
      <c r="G201" s="184">
        <f t="shared" si="16"/>
        <v>8.788017514528737E-06</v>
      </c>
      <c r="H201" s="184">
        <f t="shared" si="16"/>
        <v>5.2839348311689936E-05</v>
      </c>
      <c r="I201" s="184">
        <f t="shared" si="16"/>
        <v>1.0952613639311256E-05</v>
      </c>
      <c r="J201" s="184">
        <f t="shared" si="16"/>
        <v>1.1751331480778822E-05</v>
      </c>
      <c r="K201" s="184">
        <f t="shared" si="16"/>
        <v>1.1760983525456807E-05</v>
      </c>
      <c r="L201" s="137" t="s">
        <v>227</v>
      </c>
      <c r="M201" s="143"/>
    </row>
    <row r="202" spans="2:13" ht="15.75">
      <c r="B202" s="137"/>
      <c r="C202" s="188" t="s">
        <v>33</v>
      </c>
      <c r="D202" s="184">
        <f aca="true" t="shared" si="17" ref="D202:K202">D188*$H$194*$C$17</f>
        <v>1.2190043814499784E-06</v>
      </c>
      <c r="E202" s="184">
        <f t="shared" si="17"/>
        <v>1.1511052024354113E-06</v>
      </c>
      <c r="F202" s="184">
        <f t="shared" si="17"/>
        <v>3.919231410676139E-06</v>
      </c>
      <c r="G202" s="184">
        <f t="shared" si="17"/>
        <v>2.1770568159574124E-06</v>
      </c>
      <c r="H202" s="184">
        <f t="shared" si="17"/>
        <v>9.220818661203535E-06</v>
      </c>
      <c r="I202" s="184">
        <f t="shared" si="17"/>
        <v>2.083628295647221E-06</v>
      </c>
      <c r="J202" s="184">
        <f t="shared" si="17"/>
        <v>9.424796486054568E-07</v>
      </c>
      <c r="K202" s="184">
        <f t="shared" si="17"/>
        <v>2.885482467053662E-06</v>
      </c>
      <c r="L202" s="137" t="s">
        <v>227</v>
      </c>
      <c r="M202" s="143"/>
    </row>
    <row r="203" spans="2:13" ht="15.75">
      <c r="B203" s="137"/>
      <c r="C203" s="188" t="s">
        <v>34</v>
      </c>
      <c r="D203" s="184">
        <f aca="true" t="shared" si="18" ref="D203:K203">D189*$H$194*$C$17</f>
        <v>1.6588878066889179E-06</v>
      </c>
      <c r="E203" s="184">
        <f t="shared" si="18"/>
        <v>7.593775705463965E-07</v>
      </c>
      <c r="F203" s="184">
        <f t="shared" si="18"/>
        <v>2.9188689746394684E-06</v>
      </c>
      <c r="G203" s="184">
        <f t="shared" si="18"/>
        <v>2.3505918607112274E-06</v>
      </c>
      <c r="H203" s="184">
        <f t="shared" si="18"/>
        <v>1.2702440212420586E-05</v>
      </c>
      <c r="I203" s="184">
        <f t="shared" si="18"/>
        <v>1.8345285583931722E-06</v>
      </c>
      <c r="J203" s="184">
        <f t="shared" si="18"/>
        <v>9.088059158911626E-07</v>
      </c>
      <c r="K203" s="184">
        <f t="shared" si="18"/>
        <v>3.5369787681974153E-06</v>
      </c>
      <c r="L203" s="137" t="s">
        <v>227</v>
      </c>
      <c r="M203" s="143"/>
    </row>
    <row r="204" spans="2:13" ht="15.75">
      <c r="B204" s="137"/>
      <c r="C204" s="188" t="s">
        <v>35</v>
      </c>
      <c r="D204" s="184">
        <f aca="true" t="shared" si="19" ref="D204:K204">D190*$H$194*$C$17</f>
        <v>3.5898522051694353E-06</v>
      </c>
      <c r="E204" s="184">
        <f t="shared" si="19"/>
        <v>2.4964998154527124E-06</v>
      </c>
      <c r="F204" s="184">
        <f t="shared" si="19"/>
        <v>7.0422934953565154E-06</v>
      </c>
      <c r="G204" s="184">
        <f t="shared" si="19"/>
        <v>5.251336728466927E-06</v>
      </c>
      <c r="H204" s="184">
        <f t="shared" si="19"/>
        <v>2.813559548856672E-05</v>
      </c>
      <c r="I204" s="184">
        <f t="shared" si="19"/>
        <v>5.969467461465614E-06</v>
      </c>
      <c r="J204" s="184">
        <f t="shared" si="19"/>
        <v>2.9705181762496867E-06</v>
      </c>
      <c r="K204" s="184">
        <f t="shared" si="19"/>
        <v>8.191021031265513E-06</v>
      </c>
      <c r="L204" s="137" t="s">
        <v>227</v>
      </c>
      <c r="M204" s="143"/>
    </row>
    <row r="205" spans="2:13" ht="15.75">
      <c r="B205" s="137"/>
      <c r="C205" s="182"/>
      <c r="D205" s="184"/>
      <c r="E205" s="184"/>
      <c r="F205" s="184"/>
      <c r="G205" s="184"/>
      <c r="H205" s="184"/>
      <c r="I205" s="137"/>
      <c r="J205" s="137"/>
      <c r="K205" s="137"/>
      <c r="L205" s="137"/>
      <c r="M205" s="143"/>
    </row>
    <row r="206" spans="2:13" ht="15.75">
      <c r="B206" s="162" t="s">
        <v>86</v>
      </c>
      <c r="C206" s="137"/>
      <c r="D206" s="189" t="s">
        <v>32</v>
      </c>
      <c r="E206" s="201">
        <f>E196+SUM(D201:K201)</f>
        <v>0.00011888464354063285</v>
      </c>
      <c r="F206" s="204"/>
      <c r="G206" s="184"/>
      <c r="H206" s="184"/>
      <c r="I206" s="137"/>
      <c r="J206" s="137"/>
      <c r="K206" s="137"/>
      <c r="L206" s="137" t="s">
        <v>227</v>
      </c>
      <c r="M206" s="143"/>
    </row>
    <row r="207" spans="2:13" ht="15.75">
      <c r="B207" s="137"/>
      <c r="C207" s="137"/>
      <c r="D207" s="192" t="s">
        <v>33</v>
      </c>
      <c r="E207" s="202">
        <f>E197+SUM(D202:K202)</f>
        <v>2.359880688302881E-05</v>
      </c>
      <c r="F207" s="205"/>
      <c r="G207" s="184"/>
      <c r="H207" s="184"/>
      <c r="I207" s="137"/>
      <c r="J207" s="137"/>
      <c r="K207" s="137"/>
      <c r="L207" s="137" t="s">
        <v>227</v>
      </c>
      <c r="M207" s="143"/>
    </row>
    <row r="208" spans="2:13" ht="15.75">
      <c r="B208" s="137"/>
      <c r="C208" s="137"/>
      <c r="D208" s="192" t="s">
        <v>34</v>
      </c>
      <c r="E208" s="202">
        <f>E198+SUM(D203:K203)</f>
        <v>2.6670479667488347E-05</v>
      </c>
      <c r="F208" s="205"/>
      <c r="G208" s="184"/>
      <c r="H208" s="184"/>
      <c r="I208" s="137"/>
      <c r="J208" s="137"/>
      <c r="K208" s="137"/>
      <c r="L208" s="137" t="s">
        <v>227</v>
      </c>
      <c r="M208" s="143"/>
    </row>
    <row r="209" spans="2:13" ht="15.75">
      <c r="B209" s="137"/>
      <c r="C209" s="137"/>
      <c r="D209" s="194" t="s">
        <v>35</v>
      </c>
      <c r="E209" s="203">
        <f>E199+SUM(D204:K204)</f>
        <v>6.364658440199311E-05</v>
      </c>
      <c r="F209" s="206"/>
      <c r="G209" s="184"/>
      <c r="H209" s="184"/>
      <c r="I209" s="137"/>
      <c r="J209" s="137"/>
      <c r="K209" s="137"/>
      <c r="L209" s="137" t="s">
        <v>227</v>
      </c>
      <c r="M209" s="143"/>
    </row>
    <row r="210" spans="2:13" ht="15.75">
      <c r="B210" s="137"/>
      <c r="C210" s="137"/>
      <c r="D210" s="137"/>
      <c r="E210" s="137"/>
      <c r="F210" s="137"/>
      <c r="G210" s="137"/>
      <c r="H210" s="137"/>
      <c r="I210" s="137"/>
      <c r="J210" s="137"/>
      <c r="K210" s="137"/>
      <c r="L210" s="137"/>
      <c r="M210" s="143"/>
    </row>
    <row r="211" spans="2:13" ht="15.75">
      <c r="B211" s="137"/>
      <c r="C211" s="137"/>
      <c r="D211" s="137"/>
      <c r="E211" s="137"/>
      <c r="F211" s="137"/>
      <c r="G211" s="137"/>
      <c r="H211" s="137"/>
      <c r="I211" s="137"/>
      <c r="J211" s="137"/>
      <c r="K211" s="137"/>
      <c r="L211" s="137"/>
      <c r="M211" s="143"/>
    </row>
    <row r="212" spans="2:13" ht="15.75">
      <c r="B212" s="162" t="s">
        <v>125</v>
      </c>
      <c r="C212" s="137"/>
      <c r="D212" s="163">
        <f>SUM(E206:E209)</f>
        <v>0.0002328005144931431</v>
      </c>
      <c r="E212" s="137"/>
      <c r="F212" s="137"/>
      <c r="G212" s="137"/>
      <c r="H212" s="137"/>
      <c r="I212" s="137"/>
      <c r="J212" s="137"/>
      <c r="K212" s="137"/>
      <c r="L212" s="137" t="s">
        <v>234</v>
      </c>
      <c r="M212" s="143"/>
    </row>
    <row r="213" spans="2:13" ht="15.75">
      <c r="B213" s="162" t="s">
        <v>365</v>
      </c>
      <c r="C213" s="137"/>
      <c r="D213" s="163">
        <f>D212*310</f>
        <v>0.07216815949287436</v>
      </c>
      <c r="E213" s="137"/>
      <c r="F213" s="137"/>
      <c r="G213" s="137"/>
      <c r="H213" s="137"/>
      <c r="I213" s="137"/>
      <c r="J213" s="137"/>
      <c r="K213" s="137"/>
      <c r="L213" s="137" t="s">
        <v>181</v>
      </c>
      <c r="M213" s="143"/>
    </row>
    <row r="214" spans="2:13" ht="15.75">
      <c r="B214" s="137"/>
      <c r="C214" s="137"/>
      <c r="D214" s="163"/>
      <c r="E214" s="137"/>
      <c r="F214" s="137"/>
      <c r="G214" s="137"/>
      <c r="H214" s="137"/>
      <c r="I214" s="137"/>
      <c r="J214" s="137"/>
      <c r="K214" s="137"/>
      <c r="L214" s="137"/>
      <c r="M214" s="143"/>
    </row>
    <row r="215" spans="2:13" ht="15.75">
      <c r="B215" s="137"/>
      <c r="C215" s="137"/>
      <c r="D215" s="163"/>
      <c r="E215" s="137"/>
      <c r="F215" s="137"/>
      <c r="G215" s="137"/>
      <c r="H215" s="137"/>
      <c r="I215" s="137"/>
      <c r="J215" s="137"/>
      <c r="K215" s="137"/>
      <c r="L215" s="137"/>
      <c r="M215" s="143"/>
    </row>
    <row r="216" spans="2:13" ht="15.75">
      <c r="B216" s="140" t="s">
        <v>366</v>
      </c>
      <c r="C216" s="134"/>
      <c r="D216" s="207">
        <f>D167+D213</f>
        <v>0.1106578445557407</v>
      </c>
      <c r="E216" s="134"/>
      <c r="F216" s="134"/>
      <c r="G216" s="134"/>
      <c r="H216" s="134"/>
      <c r="I216" s="134"/>
      <c r="J216" s="134"/>
      <c r="K216" s="134"/>
      <c r="L216" s="134" t="s">
        <v>181</v>
      </c>
      <c r="M216" s="151"/>
    </row>
    <row r="217" spans="2:13" ht="15.75">
      <c r="B217" s="180" t="s">
        <v>366</v>
      </c>
      <c r="C217" s="141"/>
      <c r="D217" s="332">
        <f>D216*10^3</f>
        <v>110.6578445557407</v>
      </c>
      <c r="E217" s="141"/>
      <c r="F217" s="141"/>
      <c r="G217" s="141"/>
      <c r="H217" s="141"/>
      <c r="I217" s="141"/>
      <c r="J217" s="141"/>
      <c r="K217" s="141"/>
      <c r="L217" s="141" t="s">
        <v>182</v>
      </c>
      <c r="M217" s="159"/>
    </row>
    <row r="218" ht="15.75">
      <c r="M218"/>
    </row>
  </sheetData>
  <sheetProtection sheet="1" objects="1" scenarios="1"/>
  <printOptions/>
  <pageMargins left="0.75" right="0.75" top="1" bottom="1" header="0.5" footer="0.5"/>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K31"/>
  <sheetViews>
    <sheetView showGridLines="0" zoomScale="80" zoomScaleNormal="80" zoomScalePageLayoutView="0" workbookViewId="0" topLeftCell="A1">
      <selection activeCell="A1" sqref="A1"/>
    </sheetView>
  </sheetViews>
  <sheetFormatPr defaultColWidth="8.8515625" defaultRowHeight="22.5" customHeight="1"/>
  <cols>
    <col min="1" max="1" width="3.421875" style="1" customWidth="1"/>
    <col min="2" max="2" width="36.57421875" style="1" bestFit="1" customWidth="1"/>
    <col min="3" max="5" width="10.7109375" style="1" customWidth="1"/>
    <col min="6" max="6" width="12.421875" style="1" customWidth="1"/>
    <col min="7" max="33" width="10.7109375" style="1" customWidth="1"/>
    <col min="34" max="16384" width="8.8515625" style="1" customWidth="1"/>
  </cols>
  <sheetData>
    <row r="1" ht="22.5" customHeight="1">
      <c r="A1" s="49" t="s">
        <v>43</v>
      </c>
    </row>
    <row r="2" spans="1:37" ht="15" customHeight="1">
      <c r="A2" s="130"/>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2:37" ht="21" customHeight="1">
      <c r="B3" s="337" t="s">
        <v>426</v>
      </c>
      <c r="C3" s="338">
        <v>0</v>
      </c>
      <c r="D3" s="338">
        <f>C3+1</f>
        <v>1</v>
      </c>
      <c r="E3" s="338">
        <f aca="true" t="shared" si="0" ref="E3:AG3">D3+1</f>
        <v>2</v>
      </c>
      <c r="F3" s="338">
        <f t="shared" si="0"/>
        <v>3</v>
      </c>
      <c r="G3" s="338">
        <f t="shared" si="0"/>
        <v>4</v>
      </c>
      <c r="H3" s="338">
        <f t="shared" si="0"/>
        <v>5</v>
      </c>
      <c r="I3" s="338">
        <f t="shared" si="0"/>
        <v>6</v>
      </c>
      <c r="J3" s="338">
        <f t="shared" si="0"/>
        <v>7</v>
      </c>
      <c r="K3" s="338">
        <f t="shared" si="0"/>
        <v>8</v>
      </c>
      <c r="L3" s="338">
        <f t="shared" si="0"/>
        <v>9</v>
      </c>
      <c r="M3" s="338">
        <f t="shared" si="0"/>
        <v>10</v>
      </c>
      <c r="N3" s="338">
        <f t="shared" si="0"/>
        <v>11</v>
      </c>
      <c r="O3" s="338">
        <f t="shared" si="0"/>
        <v>12</v>
      </c>
      <c r="P3" s="338">
        <f t="shared" si="0"/>
        <v>13</v>
      </c>
      <c r="Q3" s="338">
        <f t="shared" si="0"/>
        <v>14</v>
      </c>
      <c r="R3" s="338">
        <f t="shared" si="0"/>
        <v>15</v>
      </c>
      <c r="S3" s="338">
        <f t="shared" si="0"/>
        <v>16</v>
      </c>
      <c r="T3" s="338">
        <f t="shared" si="0"/>
        <v>17</v>
      </c>
      <c r="U3" s="338">
        <f t="shared" si="0"/>
        <v>18</v>
      </c>
      <c r="V3" s="338">
        <f t="shared" si="0"/>
        <v>19</v>
      </c>
      <c r="W3" s="338">
        <f t="shared" si="0"/>
        <v>20</v>
      </c>
      <c r="X3" s="338">
        <f t="shared" si="0"/>
        <v>21</v>
      </c>
      <c r="Y3" s="338">
        <f t="shared" si="0"/>
        <v>22</v>
      </c>
      <c r="Z3" s="338">
        <f t="shared" si="0"/>
        <v>23</v>
      </c>
      <c r="AA3" s="338">
        <f t="shared" si="0"/>
        <v>24</v>
      </c>
      <c r="AB3" s="338">
        <f t="shared" si="0"/>
        <v>25</v>
      </c>
      <c r="AC3" s="338">
        <f t="shared" si="0"/>
        <v>26</v>
      </c>
      <c r="AD3" s="338">
        <f t="shared" si="0"/>
        <v>27</v>
      </c>
      <c r="AE3" s="338">
        <f t="shared" si="0"/>
        <v>28</v>
      </c>
      <c r="AF3" s="338">
        <f t="shared" si="0"/>
        <v>29</v>
      </c>
      <c r="AG3" s="339">
        <f t="shared" si="0"/>
        <v>30</v>
      </c>
      <c r="AH3" s="3"/>
      <c r="AI3" s="3"/>
      <c r="AJ3" s="3"/>
      <c r="AK3" s="3"/>
    </row>
    <row r="4" spans="2:37" ht="15.75">
      <c r="B4" s="65" t="s">
        <v>38</v>
      </c>
      <c r="C4" s="66">
        <v>0</v>
      </c>
      <c r="D4" s="66">
        <v>2</v>
      </c>
      <c r="E4" s="66">
        <v>5</v>
      </c>
      <c r="F4" s="66">
        <v>19</v>
      </c>
      <c r="G4" s="66">
        <v>41</v>
      </c>
      <c r="H4" s="66">
        <v>68</v>
      </c>
      <c r="I4" s="66">
        <v>98</v>
      </c>
      <c r="J4" s="66">
        <v>128</v>
      </c>
      <c r="K4" s="66">
        <v>159</v>
      </c>
      <c r="L4" s="66">
        <v>188</v>
      </c>
      <c r="M4" s="66">
        <v>217</v>
      </c>
      <c r="N4" s="66">
        <v>244</v>
      </c>
      <c r="O4" s="66">
        <v>269</v>
      </c>
      <c r="P4" s="66">
        <v>293</v>
      </c>
      <c r="Q4" s="66">
        <v>316</v>
      </c>
      <c r="R4" s="66">
        <v>333</v>
      </c>
      <c r="S4" s="66">
        <v>356</v>
      </c>
      <c r="T4" s="66">
        <v>374</v>
      </c>
      <c r="U4" s="66">
        <v>391</v>
      </c>
      <c r="V4" s="66">
        <v>407</v>
      </c>
      <c r="W4" s="66">
        <v>422</v>
      </c>
      <c r="X4" s="66">
        <v>436</v>
      </c>
      <c r="Y4" s="66">
        <v>449</v>
      </c>
      <c r="Z4" s="66">
        <v>461</v>
      </c>
      <c r="AA4" s="66">
        <v>472</v>
      </c>
      <c r="AB4" s="66">
        <v>482</v>
      </c>
      <c r="AC4" s="66">
        <v>492</v>
      </c>
      <c r="AD4" s="66">
        <v>502</v>
      </c>
      <c r="AE4" s="66">
        <v>510</v>
      </c>
      <c r="AF4" s="66">
        <v>518</v>
      </c>
      <c r="AG4" s="66">
        <v>526</v>
      </c>
      <c r="AH4" s="3"/>
      <c r="AI4" s="3"/>
      <c r="AJ4" s="3"/>
      <c r="AK4" s="3"/>
    </row>
    <row r="5" spans="2:37" ht="15.75">
      <c r="B5" s="65" t="s">
        <v>39</v>
      </c>
      <c r="C5" s="66">
        <v>0</v>
      </c>
      <c r="D5" s="66">
        <v>0</v>
      </c>
      <c r="E5" s="66">
        <v>1</v>
      </c>
      <c r="F5" s="66">
        <v>5</v>
      </c>
      <c r="G5" s="66">
        <v>16</v>
      </c>
      <c r="H5" s="66">
        <v>32</v>
      </c>
      <c r="I5" s="66">
        <v>52</v>
      </c>
      <c r="J5" s="66">
        <v>75</v>
      </c>
      <c r="K5" s="66">
        <v>98</v>
      </c>
      <c r="L5" s="66">
        <v>122</v>
      </c>
      <c r="M5" s="66">
        <v>146</v>
      </c>
      <c r="N5" s="66">
        <v>169</v>
      </c>
      <c r="O5" s="66">
        <v>191</v>
      </c>
      <c r="P5" s="66">
        <v>213</v>
      </c>
      <c r="Q5" s="66">
        <v>234</v>
      </c>
      <c r="R5" s="66">
        <v>254</v>
      </c>
      <c r="S5" s="66">
        <v>272</v>
      </c>
      <c r="T5" s="66">
        <v>290</v>
      </c>
      <c r="U5" s="66">
        <v>306</v>
      </c>
      <c r="V5" s="66">
        <v>322</v>
      </c>
      <c r="W5" s="66">
        <v>337</v>
      </c>
      <c r="X5" s="66">
        <v>351</v>
      </c>
      <c r="Y5" s="66">
        <v>364</v>
      </c>
      <c r="Z5" s="66">
        <v>377</v>
      </c>
      <c r="AA5" s="66">
        <v>388</v>
      </c>
      <c r="AB5" s="66">
        <v>399</v>
      </c>
      <c r="AC5" s="66">
        <v>410</v>
      </c>
      <c r="AD5" s="66">
        <v>420</v>
      </c>
      <c r="AE5" s="66">
        <v>430</v>
      </c>
      <c r="AF5" s="66">
        <v>439</v>
      </c>
      <c r="AG5" s="66">
        <v>447</v>
      </c>
      <c r="AH5" s="3"/>
      <c r="AI5" s="3"/>
      <c r="AJ5" s="3"/>
      <c r="AK5" s="3"/>
    </row>
    <row r="6" spans="2:37" ht="15.75">
      <c r="B6" s="65" t="s">
        <v>40</v>
      </c>
      <c r="C6" s="66">
        <v>0</v>
      </c>
      <c r="D6" s="66">
        <v>0</v>
      </c>
      <c r="E6" s="66">
        <v>1</v>
      </c>
      <c r="F6" s="66">
        <v>5</v>
      </c>
      <c r="G6" s="66">
        <v>10</v>
      </c>
      <c r="H6" s="66">
        <v>19</v>
      </c>
      <c r="I6" s="66">
        <v>29</v>
      </c>
      <c r="J6" s="66">
        <v>41</v>
      </c>
      <c r="K6" s="66">
        <v>54</v>
      </c>
      <c r="L6" s="66">
        <v>68</v>
      </c>
      <c r="M6" s="66">
        <v>83</v>
      </c>
      <c r="N6" s="66">
        <v>99</v>
      </c>
      <c r="O6" s="66">
        <v>115</v>
      </c>
      <c r="P6" s="66">
        <v>131</v>
      </c>
      <c r="Q6" s="66">
        <v>147</v>
      </c>
      <c r="R6" s="66">
        <v>163</v>
      </c>
      <c r="S6" s="66">
        <v>179</v>
      </c>
      <c r="T6" s="66">
        <v>196</v>
      </c>
      <c r="U6" s="66">
        <v>211</v>
      </c>
      <c r="V6" s="66">
        <v>227</v>
      </c>
      <c r="W6" s="66">
        <v>242</v>
      </c>
      <c r="X6" s="66">
        <v>258</v>
      </c>
      <c r="Y6" s="66">
        <v>273</v>
      </c>
      <c r="Z6" s="66">
        <v>287</v>
      </c>
      <c r="AA6" s="66">
        <v>301</v>
      </c>
      <c r="AB6" s="66">
        <v>316</v>
      </c>
      <c r="AC6" s="66">
        <v>329</v>
      </c>
      <c r="AD6" s="66">
        <v>343</v>
      </c>
      <c r="AE6" s="66">
        <v>356</v>
      </c>
      <c r="AF6" s="66">
        <v>369</v>
      </c>
      <c r="AG6" s="66">
        <v>382</v>
      </c>
      <c r="AH6" s="3"/>
      <c r="AI6" s="3"/>
      <c r="AJ6" s="3"/>
      <c r="AK6" s="3"/>
    </row>
    <row r="7" spans="2:37" ht="15.75">
      <c r="B7" s="65" t="s">
        <v>41</v>
      </c>
      <c r="C7" s="66">
        <v>0</v>
      </c>
      <c r="D7" s="66">
        <v>0</v>
      </c>
      <c r="E7" s="66">
        <v>0</v>
      </c>
      <c r="F7" s="66">
        <v>0</v>
      </c>
      <c r="G7" s="66">
        <v>1</v>
      </c>
      <c r="H7" s="66">
        <v>3</v>
      </c>
      <c r="I7" s="66">
        <v>6</v>
      </c>
      <c r="J7" s="66">
        <v>10</v>
      </c>
      <c r="K7" s="66">
        <v>16</v>
      </c>
      <c r="L7" s="66">
        <v>23</v>
      </c>
      <c r="M7" s="66">
        <v>32</v>
      </c>
      <c r="N7" s="66">
        <v>42</v>
      </c>
      <c r="O7" s="66">
        <v>53</v>
      </c>
      <c r="P7" s="66">
        <v>65</v>
      </c>
      <c r="Q7" s="66">
        <v>78</v>
      </c>
      <c r="R7" s="66">
        <v>91</v>
      </c>
      <c r="S7" s="66">
        <v>104</v>
      </c>
      <c r="T7" s="66">
        <v>118</v>
      </c>
      <c r="U7" s="66">
        <v>132</v>
      </c>
      <c r="V7" s="66">
        <v>146</v>
      </c>
      <c r="W7" s="66">
        <v>159</v>
      </c>
      <c r="X7" s="66">
        <v>173</v>
      </c>
      <c r="Y7" s="66">
        <v>187</v>
      </c>
      <c r="Z7" s="66">
        <v>201</v>
      </c>
      <c r="AA7" s="66">
        <v>214</v>
      </c>
      <c r="AB7" s="66">
        <v>228</v>
      </c>
      <c r="AC7" s="66">
        <v>241</v>
      </c>
      <c r="AD7" s="66">
        <v>254</v>
      </c>
      <c r="AE7" s="66">
        <v>267</v>
      </c>
      <c r="AF7" s="66">
        <v>279</v>
      </c>
      <c r="AG7" s="66">
        <v>291</v>
      </c>
      <c r="AH7" s="3"/>
      <c r="AI7" s="3"/>
      <c r="AJ7" s="3"/>
      <c r="AK7" s="3"/>
    </row>
    <row r="8" spans="2:37" ht="15.75">
      <c r="B8" s="210" t="s">
        <v>42</v>
      </c>
      <c r="C8" s="208">
        <v>0</v>
      </c>
      <c r="D8" s="208">
        <v>0</v>
      </c>
      <c r="E8" s="208">
        <v>0</v>
      </c>
      <c r="F8" s="208">
        <v>0</v>
      </c>
      <c r="G8" s="208">
        <v>1</v>
      </c>
      <c r="H8" s="208">
        <v>2</v>
      </c>
      <c r="I8" s="208">
        <v>4</v>
      </c>
      <c r="J8" s="208">
        <v>7</v>
      </c>
      <c r="K8" s="208">
        <v>11</v>
      </c>
      <c r="L8" s="208">
        <v>16</v>
      </c>
      <c r="M8" s="208">
        <v>21</v>
      </c>
      <c r="N8" s="208">
        <v>28</v>
      </c>
      <c r="O8" s="208">
        <v>35</v>
      </c>
      <c r="P8" s="208">
        <v>43</v>
      </c>
      <c r="Q8" s="208">
        <v>52</v>
      </c>
      <c r="R8" s="208">
        <v>60</v>
      </c>
      <c r="S8" s="208">
        <v>69</v>
      </c>
      <c r="T8" s="208">
        <v>78</v>
      </c>
      <c r="U8" s="208">
        <v>87</v>
      </c>
      <c r="V8" s="208">
        <v>97</v>
      </c>
      <c r="W8" s="208">
        <v>106</v>
      </c>
      <c r="X8" s="208">
        <v>115</v>
      </c>
      <c r="Y8" s="208">
        <v>124</v>
      </c>
      <c r="Z8" s="208">
        <v>133</v>
      </c>
      <c r="AA8" s="208">
        <v>142</v>
      </c>
      <c r="AB8" s="208">
        <v>151</v>
      </c>
      <c r="AC8" s="208">
        <v>160</v>
      </c>
      <c r="AD8" s="208">
        <v>168</v>
      </c>
      <c r="AE8" s="208">
        <v>177</v>
      </c>
      <c r="AF8" s="208">
        <v>185</v>
      </c>
      <c r="AG8" s="208">
        <v>193</v>
      </c>
      <c r="AH8" s="3"/>
      <c r="AI8" s="3"/>
      <c r="AJ8" s="3"/>
      <c r="AK8" s="3"/>
    </row>
    <row r="9" spans="2:37" ht="15.7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2:37" ht="15.75">
      <c r="B10" s="209"/>
      <c r="C10" s="209" t="s">
        <v>54</v>
      </c>
      <c r="D10" s="209" t="s">
        <v>55</v>
      </c>
      <c r="E10" s="209" t="s">
        <v>56</v>
      </c>
      <c r="F10" s="209" t="s">
        <v>60</v>
      </c>
      <c r="G10" s="209" t="s">
        <v>61</v>
      </c>
      <c r="H10" s="209" t="s">
        <v>55</v>
      </c>
      <c r="I10" s="209" t="s">
        <v>56</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2:37" ht="15.75">
      <c r="B11" s="65"/>
      <c r="C11" s="65" t="s">
        <v>57</v>
      </c>
      <c r="D11" s="414" t="s">
        <v>58</v>
      </c>
      <c r="E11" s="414"/>
      <c r="F11" s="215" t="s">
        <v>59</v>
      </c>
      <c r="G11" s="215"/>
      <c r="H11" s="414" t="s">
        <v>62</v>
      </c>
      <c r="I11" s="414"/>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ht="15.75">
      <c r="A12" s="1">
        <v>1</v>
      </c>
      <c r="B12" s="65" t="s">
        <v>367</v>
      </c>
      <c r="C12" s="65">
        <v>600</v>
      </c>
      <c r="D12" s="65">
        <v>15</v>
      </c>
      <c r="E12" s="65">
        <v>30</v>
      </c>
      <c r="F12" s="65">
        <v>0.43</v>
      </c>
      <c r="G12" s="211">
        <v>0.5</v>
      </c>
      <c r="H12" s="212">
        <f>D12*F12*G12*3.7</f>
        <v>11.932500000000001</v>
      </c>
      <c r="I12" s="212">
        <f>E12*F12*G12*3.7</f>
        <v>23.865000000000002</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ht="15.75">
      <c r="A13" s="1">
        <f>A12+1</f>
        <v>2</v>
      </c>
      <c r="B13" s="66" t="s">
        <v>44</v>
      </c>
      <c r="C13" s="66">
        <v>600</v>
      </c>
      <c r="D13" s="66">
        <v>15</v>
      </c>
      <c r="E13" s="66">
        <v>30</v>
      </c>
      <c r="F13" s="66">
        <v>0.43</v>
      </c>
      <c r="G13" s="213">
        <v>0.5</v>
      </c>
      <c r="H13" s="214">
        <f>D13*F13*G13*3.7</f>
        <v>11.932500000000001</v>
      </c>
      <c r="I13" s="214">
        <f>E13*F13*G13*3.7</f>
        <v>23.865000000000002</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ht="15.75">
      <c r="A14" s="1">
        <f aca="true" t="shared" si="1" ref="A14:A25">A13+1</f>
        <v>3</v>
      </c>
      <c r="B14" s="65" t="s">
        <v>368</v>
      </c>
      <c r="C14" s="65">
        <f aca="true" t="shared" si="2" ref="C14:I14">AVERAGE(C15:C18)</f>
        <v>775</v>
      </c>
      <c r="D14" s="65">
        <f t="shared" si="2"/>
        <v>15</v>
      </c>
      <c r="E14" s="65">
        <f t="shared" si="2"/>
        <v>32.5</v>
      </c>
      <c r="F14" s="65">
        <f t="shared" si="2"/>
        <v>0.63</v>
      </c>
      <c r="G14" s="65">
        <f t="shared" si="2"/>
        <v>0.5</v>
      </c>
      <c r="H14" s="65">
        <f t="shared" si="2"/>
        <v>17.482499999999998</v>
      </c>
      <c r="I14" s="65">
        <f t="shared" si="2"/>
        <v>37.878750000000004</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ht="15.75">
      <c r="A15" s="1">
        <f t="shared" si="1"/>
        <v>4</v>
      </c>
      <c r="B15" s="66" t="s">
        <v>45</v>
      </c>
      <c r="C15" s="66">
        <v>700</v>
      </c>
      <c r="D15" s="66">
        <v>15</v>
      </c>
      <c r="E15" s="66">
        <v>35</v>
      </c>
      <c r="F15" s="66">
        <v>0.63</v>
      </c>
      <c r="G15" s="213">
        <v>0.5</v>
      </c>
      <c r="H15" s="214">
        <f>D15*F15*G15*3.7</f>
        <v>17.482499999999998</v>
      </c>
      <c r="I15" s="214">
        <f>E15*F15*G15*3.7</f>
        <v>40.792500000000004</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7" ht="15.75">
      <c r="A16" s="1">
        <f t="shared" si="1"/>
        <v>5</v>
      </c>
      <c r="B16" s="66" t="s">
        <v>122</v>
      </c>
      <c r="C16" s="66">
        <v>800</v>
      </c>
      <c r="D16" s="66">
        <v>15</v>
      </c>
      <c r="E16" s="66">
        <v>35</v>
      </c>
      <c r="F16" s="66">
        <v>0.63</v>
      </c>
      <c r="G16" s="213">
        <v>0.5</v>
      </c>
      <c r="H16" s="214">
        <f>D16*F16*G16*3.7</f>
        <v>17.482499999999998</v>
      </c>
      <c r="I16" s="214">
        <f>E16*F16*G16*3.7</f>
        <v>40.792500000000004</v>
      </c>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7" ht="15.75">
      <c r="A17" s="1">
        <f t="shared" si="1"/>
        <v>6</v>
      </c>
      <c r="B17" s="66" t="s">
        <v>46</v>
      </c>
      <c r="C17" s="66">
        <v>800</v>
      </c>
      <c r="D17" s="66">
        <v>15</v>
      </c>
      <c r="E17" s="66">
        <v>30</v>
      </c>
      <c r="F17" s="66">
        <v>0.63</v>
      </c>
      <c r="G17" s="213">
        <v>0.5</v>
      </c>
      <c r="H17" s="214">
        <f>D17*F17*G17*3.7</f>
        <v>17.482499999999998</v>
      </c>
      <c r="I17" s="214">
        <f>E17*F17*G17*3.7</f>
        <v>34.964999999999996</v>
      </c>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37" ht="15.75">
      <c r="A18" s="1">
        <f t="shared" si="1"/>
        <v>7</v>
      </c>
      <c r="B18" s="66" t="s">
        <v>47</v>
      </c>
      <c r="C18" s="66">
        <v>800</v>
      </c>
      <c r="D18" s="66">
        <v>15</v>
      </c>
      <c r="E18" s="66">
        <v>30</v>
      </c>
      <c r="F18" s="66">
        <v>0.63</v>
      </c>
      <c r="G18" s="213">
        <v>0.5</v>
      </c>
      <c r="H18" s="214">
        <f>D18*F18*G18*3.7</f>
        <v>17.482499999999998</v>
      </c>
      <c r="I18" s="214">
        <f>E18*F18*G18*3.7</f>
        <v>34.964999999999996</v>
      </c>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row>
    <row r="19" spans="1:37" ht="15.75">
      <c r="A19" s="1">
        <f t="shared" si="1"/>
        <v>8</v>
      </c>
      <c r="B19" s="66" t="s">
        <v>48</v>
      </c>
      <c r="C19" s="66">
        <v>600</v>
      </c>
      <c r="D19" s="66">
        <v>8</v>
      </c>
      <c r="E19" s="66">
        <v>20</v>
      </c>
      <c r="F19" s="66">
        <v>0.63</v>
      </c>
      <c r="G19" s="213">
        <v>0.5</v>
      </c>
      <c r="H19" s="214">
        <f>D19*F19*G19*3.7</f>
        <v>9.324</v>
      </c>
      <c r="I19" s="214">
        <f>E19*F19*G19*3.7</f>
        <v>23.31</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1:37" ht="15.75">
      <c r="A20" s="1">
        <f t="shared" si="1"/>
        <v>9</v>
      </c>
      <c r="B20" s="65" t="s">
        <v>369</v>
      </c>
      <c r="C20" s="65">
        <f aca="true" t="shared" si="3" ref="C20:I20">AVERAGE(C21:C25)</f>
        <v>530</v>
      </c>
      <c r="D20" s="65">
        <f t="shared" si="3"/>
        <v>3</v>
      </c>
      <c r="E20" s="65">
        <f t="shared" si="3"/>
        <v>8.8</v>
      </c>
      <c r="F20" s="65">
        <f t="shared" si="3"/>
        <v>0.63</v>
      </c>
      <c r="G20" s="65">
        <f t="shared" si="3"/>
        <v>0.5</v>
      </c>
      <c r="H20" s="65">
        <f t="shared" si="3"/>
        <v>3.4964999999999997</v>
      </c>
      <c r="I20" s="65">
        <f t="shared" si="3"/>
        <v>10.2564</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row>
    <row r="21" spans="1:37" ht="15.75">
      <c r="A21" s="1">
        <f t="shared" si="1"/>
        <v>10</v>
      </c>
      <c r="B21" s="66" t="s">
        <v>49</v>
      </c>
      <c r="C21" s="66">
        <v>750</v>
      </c>
      <c r="D21" s="66">
        <v>4</v>
      </c>
      <c r="E21" s="66">
        <v>10</v>
      </c>
      <c r="F21" s="66">
        <v>0.63</v>
      </c>
      <c r="G21" s="213">
        <v>0.5</v>
      </c>
      <c r="H21" s="214">
        <f>D21*F21*G21*3.7</f>
        <v>4.662</v>
      </c>
      <c r="I21" s="214">
        <f>E21*F21*G21*3.7</f>
        <v>11.655</v>
      </c>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row>
    <row r="22" spans="1:37" ht="15.75">
      <c r="A22" s="1">
        <f t="shared" si="1"/>
        <v>11</v>
      </c>
      <c r="B22" s="66" t="s">
        <v>50</v>
      </c>
      <c r="C22" s="66">
        <v>500</v>
      </c>
      <c r="D22" s="66">
        <v>5</v>
      </c>
      <c r="E22" s="66">
        <v>10</v>
      </c>
      <c r="F22" s="66">
        <v>0.63</v>
      </c>
      <c r="G22" s="213">
        <v>0.5</v>
      </c>
      <c r="H22" s="214">
        <f>D22*F22*G22*3.7</f>
        <v>5.8275</v>
      </c>
      <c r="I22" s="214">
        <f>E22*F22*G22*3.7</f>
        <v>11.655</v>
      </c>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row>
    <row r="23" spans="1:37" ht="15.75">
      <c r="A23" s="1">
        <f t="shared" si="1"/>
        <v>12</v>
      </c>
      <c r="B23" s="66" t="s">
        <v>51</v>
      </c>
      <c r="C23" s="66">
        <v>500</v>
      </c>
      <c r="D23" s="66">
        <v>2</v>
      </c>
      <c r="E23" s="66">
        <v>8</v>
      </c>
      <c r="F23" s="66">
        <v>0.63</v>
      </c>
      <c r="G23" s="213">
        <v>0.5</v>
      </c>
      <c r="H23" s="214">
        <f>D23*F23*G23*3.7</f>
        <v>2.331</v>
      </c>
      <c r="I23" s="214">
        <f>E23*F23*G23*3.7</f>
        <v>9.324</v>
      </c>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7" ht="15.75">
      <c r="A24" s="1">
        <f t="shared" si="1"/>
        <v>13</v>
      </c>
      <c r="B24" s="66" t="s">
        <v>52</v>
      </c>
      <c r="C24" s="66">
        <v>400</v>
      </c>
      <c r="D24" s="66">
        <v>2</v>
      </c>
      <c r="E24" s="66">
        <v>8</v>
      </c>
      <c r="F24" s="66">
        <v>0.63</v>
      </c>
      <c r="G24" s="213">
        <v>0.5</v>
      </c>
      <c r="H24" s="214">
        <f>D24*F24*G24*3.7</f>
        <v>2.331</v>
      </c>
      <c r="I24" s="214">
        <f>E24*F24*G24*3.7</f>
        <v>9.324</v>
      </c>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37" ht="15.75">
      <c r="A25" s="1">
        <f t="shared" si="1"/>
        <v>14</v>
      </c>
      <c r="B25" s="66" t="s">
        <v>53</v>
      </c>
      <c r="C25" s="66">
        <v>500</v>
      </c>
      <c r="D25" s="66">
        <v>2</v>
      </c>
      <c r="E25" s="66">
        <v>8</v>
      </c>
      <c r="F25" s="66">
        <v>0.63</v>
      </c>
      <c r="G25" s="213">
        <v>0.5</v>
      </c>
      <c r="H25" s="214">
        <f>D25*F25*G25*3.7</f>
        <v>2.331</v>
      </c>
      <c r="I25" s="214">
        <f>E25*F25*G25*3.7</f>
        <v>9.324</v>
      </c>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2:37" ht="15.75">
      <c r="B26" s="66"/>
      <c r="C26" s="66"/>
      <c r="D26" s="66"/>
      <c r="E26" s="66"/>
      <c r="F26" s="66"/>
      <c r="G26" s="66"/>
      <c r="H26" s="66"/>
      <c r="I26" s="66"/>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7" spans="2:37" ht="15.75">
      <c r="B27" s="66" t="s">
        <v>70</v>
      </c>
      <c r="C27" s="66" t="s">
        <v>62</v>
      </c>
      <c r="D27" s="66"/>
      <c r="E27" s="414" t="s">
        <v>74</v>
      </c>
      <c r="F27" s="414"/>
      <c r="G27" s="66"/>
      <c r="H27" s="66"/>
      <c r="I27" s="66"/>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37" ht="15.75">
      <c r="A28" s="1">
        <v>1</v>
      </c>
      <c r="B28" s="66" t="s">
        <v>71</v>
      </c>
      <c r="C28" s="66" t="b">
        <f>IF('Data summary'!C20=1,Trees!F28)</f>
        <v>0</v>
      </c>
      <c r="D28" s="66"/>
      <c r="E28" s="66">
        <f>VLOOKUP('Data summary'!C19,Trees!A12:I25,8,FALSE)</f>
        <v>3.4964999999999997</v>
      </c>
      <c r="F28" s="66">
        <f>VLOOKUP('Data summary'!C19,Trees!A12:I25,9,FALSE)</f>
        <v>10.2564</v>
      </c>
      <c r="G28" s="66"/>
      <c r="H28" s="66"/>
      <c r="I28" s="66"/>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1:37" ht="15.75">
      <c r="A29" s="1">
        <v>2</v>
      </c>
      <c r="B29" s="66" t="s">
        <v>73</v>
      </c>
      <c r="C29" s="66" t="b">
        <f>IF('Data summary'!C20=2,AVERAGE(Trees!F28,Trees!E28))</f>
        <v>0</v>
      </c>
      <c r="D29" s="66"/>
      <c r="E29" s="66"/>
      <c r="F29" s="65">
        <f>AVERAGE(C28:C30)</f>
        <v>3.4964999999999997</v>
      </c>
      <c r="G29" s="66"/>
      <c r="H29" s="66"/>
      <c r="I29" s="66"/>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1:37" ht="15.75">
      <c r="A30" s="1">
        <v>3</v>
      </c>
      <c r="B30" s="208" t="s">
        <v>72</v>
      </c>
      <c r="C30" s="208">
        <f>IF('Data summary'!C20=3,Trees!E28)</f>
        <v>3.4964999999999997</v>
      </c>
      <c r="D30" s="208"/>
      <c r="E30" s="208"/>
      <c r="F30" s="208"/>
      <c r="G30" s="208"/>
      <c r="H30" s="208"/>
      <c r="I30" s="208"/>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2:37" ht="22.5" customHeight="1">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sheetData>
  <sheetProtection sheet="1" objects="1" scenarios="1"/>
  <mergeCells count="3">
    <mergeCell ref="E27:F27"/>
    <mergeCell ref="D11:E11"/>
    <mergeCell ref="H11:I1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ILFR, The University of Melbourne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Richard J Eckard</dc:creator>
  <cp:keywords/>
  <dc:description/>
  <cp:lastModifiedBy>Richard Eckard</cp:lastModifiedBy>
  <cp:lastPrinted>2002-03-13T02:03:34Z</cp:lastPrinted>
  <dcterms:created xsi:type="dcterms:W3CDTF">2001-05-18T05:48:59Z</dcterms:created>
  <dcterms:modified xsi:type="dcterms:W3CDTF">2014-06-19T04:05:20Z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