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2195" windowHeight="3990" activeTab="0"/>
  </bookViews>
  <sheets>
    <sheet name="Intro" sheetId="1" r:id="rId1"/>
    <sheet name="Data summary" sheetId="2" r:id="rId2"/>
    <sheet name="Data input" sheetId="3" r:id="rId3"/>
    <sheet name="Enteric fermentation" sheetId="4" r:id="rId4"/>
    <sheet name="Manure management" sheetId="5" r:id="rId5"/>
    <sheet name="Nitrous oxide MMS" sheetId="6" r:id="rId6"/>
    <sheet name="Agricultural soils" sheetId="7" r:id="rId7"/>
    <sheet name="Trees" sheetId="8" r:id="rId8"/>
    <sheet name="Electicity &amp; Diesel" sheetId="9" r:id="rId9"/>
  </sheets>
  <definedNames>
    <definedName name="powersource">'Electicity &amp; Diesel'!$B$38:$B$45</definedName>
    <definedName name="state">'Nitrous oxide MMS'!$L$23:$L$29</definedName>
  </definedNames>
  <calcPr fullCalcOnLoad="1"/>
</workbook>
</file>

<file path=xl/comments3.xml><?xml version="1.0" encoding="utf-8"?>
<comments xmlns="http://schemas.openxmlformats.org/spreadsheetml/2006/main">
  <authors>
    <author>Dr Richard J Eckard</author>
    <author>Richard Eckard</author>
    <author>Seyda Ozkan</author>
  </authors>
  <commentList>
    <comment ref="B5" authorId="0">
      <text>
        <r>
          <rPr>
            <sz val="8"/>
            <rFont val="Tahoma"/>
            <family val="2"/>
          </rPr>
          <t>Insert the number of animals in each category.</t>
        </r>
      </text>
    </comment>
    <comment ref="B11" authorId="0">
      <text>
        <r>
          <rPr>
            <sz val="8"/>
            <rFont val="Tahoma"/>
            <family val="2"/>
          </rPr>
          <t xml:space="preserve">Specify the average liveweight of your herd for each category.
The estimated weight of an animal by season. </t>
        </r>
      </text>
    </comment>
    <comment ref="B17" authorId="0">
      <text>
        <r>
          <rPr>
            <sz val="8"/>
            <rFont val="Tahoma"/>
            <family val="2"/>
          </rPr>
          <t>Insert the likely average daily liveweight gain for each class of animal in the herd.
This is an estimate of the expected weight gain of an animal in a particular class of livestock over a season, expressed in kilograms per day. Where climatic conditions are particularly harsh and where feed quality is poor, liveweight loss will occur.</t>
        </r>
      </text>
    </comment>
    <comment ref="B29" authorId="1">
      <text>
        <r>
          <rPr>
            <sz val="8"/>
            <rFont val="Tahoma"/>
            <family val="2"/>
          </rPr>
          <t>Enter the DMD in the feed eaten, not on offer</t>
        </r>
      </text>
    </comment>
    <comment ref="B61" authorId="2">
      <text>
        <r>
          <rPr>
            <sz val="8"/>
            <rFont val="Tahoma"/>
            <family val="2"/>
          </rPr>
          <t>Enter your manure management data for milkers.
Enter zero (0) for the category that is not applicable to your farm</t>
        </r>
      </text>
    </comment>
    <comment ref="C61" authorId="2">
      <text>
        <r>
          <rPr>
            <sz val="8"/>
            <rFont val="Tahoma"/>
            <family val="2"/>
          </rPr>
          <t>Lagoon (%)
Manure in a liquid form is stored in such a way as to create anaerobic conditions. Typically, almost all of the available organic matter of the waste will be converted into methane in the anaerobic situation. In order to prevent emissions escaping into the atmosphere, it is possible to cover these lagoons, collect the methane gas produced and burn it as a renewable fuel.</t>
        </r>
      </text>
    </comment>
    <comment ref="D61" authorId="2">
      <text>
        <r>
          <rPr>
            <sz val="8"/>
            <rFont val="Tahoma"/>
            <family val="2"/>
          </rPr>
          <t>Liquid/slurry (%)</t>
        </r>
      </text>
    </comment>
    <comment ref="E61" authorId="2">
      <text>
        <r>
          <rPr>
            <sz val="8"/>
            <rFont val="Tahoma"/>
            <family val="2"/>
          </rPr>
          <t>Daily spread (%)</t>
        </r>
      </text>
    </comment>
    <comment ref="H61" authorId="2">
      <text>
        <r>
          <rPr>
            <sz val="8"/>
            <rFont val="Tahoma"/>
            <family val="2"/>
          </rPr>
          <t>Digester (%)</t>
        </r>
      </text>
    </comment>
    <comment ref="I61" authorId="2">
      <text>
        <r>
          <rPr>
            <sz val="8"/>
            <rFont val="Tahoma"/>
            <family val="2"/>
          </rPr>
          <t>Voided at pasture (%)</t>
        </r>
      </text>
    </comment>
    <comment ref="B62" authorId="2">
      <text>
        <r>
          <rPr>
            <sz val="8"/>
            <rFont val="Tahoma"/>
            <family val="2"/>
          </rPr>
          <t>Enter your manure management data for other dairy cows 
Enter zero (0) for the category that is not applicable to your farm</t>
        </r>
      </text>
    </comment>
    <comment ref="B54" authorId="0">
      <text>
        <r>
          <rPr>
            <sz val="8"/>
            <rFont val="Tahoma"/>
            <family val="2"/>
          </rPr>
          <t>Total area of pastures that received N fertiliser</t>
        </r>
      </text>
    </comment>
    <comment ref="B53" authorId="0">
      <text>
        <r>
          <rPr>
            <sz val="8"/>
            <rFont val="Tahoma"/>
            <family val="2"/>
          </rPr>
          <t>The total area of cropping land that received N fertiliser</t>
        </r>
      </text>
    </comment>
    <comment ref="B56" authorId="0">
      <text>
        <r>
          <rPr>
            <sz val="8"/>
            <rFont val="Tahoma"/>
            <family val="2"/>
          </rPr>
          <t>How any litres of diesel did the farm use last year?</t>
        </r>
      </text>
    </comment>
    <comment ref="B57" authorId="0">
      <text>
        <r>
          <rPr>
            <sz val="8"/>
            <rFont val="Tahoma"/>
            <family val="2"/>
          </rPr>
          <t>What was your total annual electricity bill for the year in KWh?</t>
        </r>
      </text>
    </comment>
    <comment ref="B58" authorId="0">
      <text>
        <r>
          <rPr>
            <sz val="8"/>
            <rFont val="Tahoma"/>
            <family val="2"/>
          </rPr>
          <t>This allows for the evaluation of the carbon sequestration impact if planting trees on the farm. If you don't want this comparison, then set the area to zero.</t>
        </r>
      </text>
    </comment>
    <comment ref="G61" authorId="2">
      <text>
        <r>
          <rPr>
            <sz val="8"/>
            <rFont val="Tahoma"/>
            <family val="2"/>
          </rPr>
          <t>Drylot (%)</t>
        </r>
      </text>
    </comment>
    <comment ref="F61" authorId="2">
      <text>
        <r>
          <rPr>
            <sz val="8"/>
            <rFont val="Tahoma"/>
            <family val="2"/>
          </rPr>
          <t>solid storage (%)</t>
        </r>
      </text>
    </comment>
    <comment ref="C4" authorId="2">
      <text>
        <r>
          <rPr>
            <sz val="8"/>
            <rFont val="Tahoma"/>
            <family val="2"/>
          </rPr>
          <t>Defined in terms of calendar seasons (Spring - September, October, November. Summer - December, January, February. Autumn - March, April, May. Winter - June, July, August)</t>
        </r>
      </text>
    </comment>
    <comment ref="B23" authorId="2">
      <text>
        <r>
          <rPr>
            <sz val="8"/>
            <rFont val="Tahoma"/>
            <family val="2"/>
          </rPr>
          <t>Enter the CP in the feed eaten, not on offer</t>
        </r>
      </text>
    </comment>
    <comment ref="B35" authorId="2">
      <text>
        <r>
          <rPr>
            <sz val="8"/>
            <rFont val="Tahoma"/>
            <family val="2"/>
          </rPr>
          <t>Insert the average seasonal milk production for milking cows in kg/head/day (or annual yield/no of milking cows/365 days)</t>
        </r>
      </text>
    </comment>
    <comment ref="B47" authorId="2">
      <text>
        <r>
          <rPr>
            <sz val="8"/>
            <rFont val="Tahoma"/>
            <family val="2"/>
          </rPr>
          <t>Amount of Nitrogen fertiliser applied on pastures (in kg N/ha) - remember that urea is 46%N and DAP is 18% N etc. i.e. 10 tonnes of urea = 10000*46/100 kg N</t>
        </r>
      </text>
    </comment>
    <comment ref="B41" authorId="2">
      <text>
        <r>
          <rPr>
            <sz val="8"/>
            <rFont val="Tahoma"/>
            <family val="2"/>
          </rPr>
          <t>Amount of Nitrogen fertiliser applied on crops (in kg N/ha) - remember that urea is 46%N and DAP is 18% N etc. i.e. 10 tonnes of urea = 10000*46/100 kg N</t>
        </r>
      </text>
    </comment>
    <comment ref="K6" authorId="2">
      <text>
        <r>
          <rPr>
            <sz val="8"/>
            <rFont val="Tahoma"/>
            <family val="2"/>
          </rPr>
          <t>For example, if you are in Gippsland, it is most likely from Victorian Brown Coal. If you deliberately buy power from renewable sources or Green Power, then select the bottom option.
While electricity consumption is not a greenhouse emission at a farm level, it is important to include this to allow you to investigate the impact of increased power use such as for comparing spray irrigation against flood irrigation.</t>
        </r>
      </text>
    </comment>
    <comment ref="K9" authorId="2">
      <text>
        <r>
          <rPr>
            <sz val="8"/>
            <rFont val="Tahoma"/>
            <family val="2"/>
          </rPr>
          <t xml:space="preserve"> If they are not listed then choose the closest species, or just the general heading.</t>
        </r>
      </text>
    </comment>
    <comment ref="K12" authorId="2">
      <text>
        <r>
          <rPr>
            <sz val="8"/>
            <rFont val="Tahoma"/>
            <family val="2"/>
          </rPr>
          <t>Rainfall is just a general guide for the rate of tree growth.</t>
        </r>
      </text>
    </comment>
    <comment ref="G1" authorId="2">
      <text>
        <r>
          <rPr>
            <sz val="8"/>
            <rFont val="Tahoma"/>
            <family val="2"/>
          </rPr>
          <t>Type the name of your farm</t>
        </r>
      </text>
    </comment>
  </commentList>
</comments>
</file>

<file path=xl/comments7.xml><?xml version="1.0" encoding="utf-8"?>
<comments xmlns="http://schemas.openxmlformats.org/spreadsheetml/2006/main">
  <authors>
    <author>Seyda Ozkan</author>
  </authors>
  <commentList>
    <comment ref="J20" authorId="0">
      <text>
        <r>
          <rPr>
            <sz val="8"/>
            <rFont val="Tahoma"/>
            <family val="2"/>
          </rPr>
          <t>FN was assumed to be 1 here. Appendix 6.H.1 provides more detailed information regarding the fraction of fertiliser N applied to each production system for each state between 1990 and 2008</t>
        </r>
      </text>
    </comment>
    <comment ref="J206" authorId="0">
      <text>
        <r>
          <rPr>
            <sz val="8"/>
            <rFont val="Tahoma"/>
            <family val="2"/>
          </rPr>
          <t>Fraction of N available for leaching and runoff for each state can be found in Appendix 6.J.1. However, since dairy farms are either irrigated or believed to receive enough rainfall to leach, fraction of leaching and runoff here was assumed to be 1.</t>
        </r>
      </text>
    </comment>
    <comment ref="B57" authorId="0">
      <text>
        <r>
          <rPr>
            <sz val="8"/>
            <rFont val="Tahoma"/>
            <family val="2"/>
          </rPr>
          <t>MMS = the fraction of AE that is managed in the different manure management systems (except for pasture range and paddock)</t>
        </r>
      </text>
    </comment>
    <comment ref="B63" authorId="0">
      <text>
        <r>
          <rPr>
            <sz val="8"/>
            <rFont val="Tahoma"/>
            <family val="2"/>
          </rPr>
          <t>E = total emissions of nitrous oxide from the different manure management systems (except for pasture range and paddock)</t>
        </r>
      </text>
    </comment>
    <comment ref="B68" authorId="0">
      <text>
        <r>
          <rPr>
            <sz val="8"/>
            <rFont val="Tahoma"/>
            <family val="2"/>
          </rPr>
          <t>Except for pasture range and paddock</t>
        </r>
      </text>
    </comment>
  </commentList>
</comments>
</file>

<file path=xl/comments9.xml><?xml version="1.0" encoding="utf-8"?>
<comments xmlns="http://schemas.openxmlformats.org/spreadsheetml/2006/main">
  <authors>
    <author>Seyda Ozkan</author>
    <author>Dr Richard J Eckard</author>
  </authors>
  <commentList>
    <comment ref="H22" authorId="0">
      <text>
        <r>
          <rPr>
            <sz val="8"/>
            <rFont val="Tahoma"/>
            <family val="2"/>
          </rPr>
          <t>0.085 Gg SO2/PJ</t>
        </r>
      </text>
    </comment>
    <comment ref="B38" authorId="1">
      <text>
        <r>
          <rPr>
            <sz val="8"/>
            <rFont val="Tahoma"/>
            <family val="2"/>
          </rPr>
          <t>SO2 Emission factor = 0.37 Gg SO2/PJ</t>
        </r>
      </text>
    </comment>
    <comment ref="C38" authorId="1">
      <text>
        <r>
          <rPr>
            <sz val="8"/>
            <rFont val="Tahoma"/>
            <family val="2"/>
          </rPr>
          <t>30% would be average</t>
        </r>
      </text>
    </comment>
    <comment ref="D38" authorId="1">
      <text>
        <r>
          <rPr>
            <sz val="8"/>
            <rFont val="Tahoma"/>
            <family val="2"/>
          </rPr>
          <t>1000 average</t>
        </r>
      </text>
    </comment>
    <comment ref="B39" authorId="1">
      <text>
        <r>
          <rPr>
            <sz val="8"/>
            <rFont val="Tahoma"/>
            <family val="2"/>
          </rPr>
          <t>SO2 Emission factor = 0.15 Gg SO2/PJ</t>
        </r>
      </text>
    </comment>
    <comment ref="C39" authorId="1">
      <text>
        <r>
          <rPr>
            <sz val="8"/>
            <rFont val="Tahoma"/>
            <family val="2"/>
          </rPr>
          <t>25% average</t>
        </r>
      </text>
    </comment>
    <comment ref="D39" authorId="1">
      <text>
        <r>
          <rPr>
            <sz val="8"/>
            <rFont val="Tahoma"/>
            <family val="2"/>
          </rPr>
          <t>1400 average</t>
        </r>
      </text>
    </comment>
  </commentList>
</comments>
</file>

<file path=xl/sharedStrings.xml><?xml version="1.0" encoding="utf-8"?>
<sst xmlns="http://schemas.openxmlformats.org/spreadsheetml/2006/main" count="1224" uniqueCount="533">
  <si>
    <t>Hydro or other clean Power</t>
  </si>
  <si>
    <t>State</t>
  </si>
  <si>
    <t>NSW/ACT</t>
  </si>
  <si>
    <t>kg/day</t>
  </si>
  <si>
    <t>Natural Gas-Turbine</t>
  </si>
  <si>
    <t>Cogen -Oil fired steam</t>
  </si>
  <si>
    <t>Selected</t>
  </si>
  <si>
    <t>Bulls&gt;1</t>
  </si>
  <si>
    <t>Bulls&lt;1</t>
  </si>
  <si>
    <t>LWT</t>
  </si>
  <si>
    <t>GE</t>
  </si>
  <si>
    <t>kg CH4 /farm/year</t>
  </si>
  <si>
    <t>Methane for each manure managent system and MCF associated, for each class of cattle separately</t>
  </si>
  <si>
    <t>Annual Electricity Use</t>
  </si>
  <si>
    <t>t CO2e/cow/year</t>
  </si>
  <si>
    <t>kg CH4/cow/year</t>
  </si>
  <si>
    <t>Introduction</t>
  </si>
  <si>
    <t>Net Farm Emissions</t>
  </si>
  <si>
    <t>Joe Bloggs</t>
  </si>
  <si>
    <r>
      <t xml:space="preserve">     - Methane (CH</t>
    </r>
    <r>
      <rPr>
        <u val="single"/>
        <vertAlign val="subscript"/>
        <sz val="14"/>
        <color indexed="12"/>
        <rFont val="Times New Roman"/>
        <family val="1"/>
      </rPr>
      <t>4</t>
    </r>
    <r>
      <rPr>
        <u val="single"/>
        <sz val="14"/>
        <color indexed="12"/>
        <rFont val="Times New Roman"/>
        <family val="1"/>
      </rPr>
      <t>)</t>
    </r>
  </si>
  <si>
    <r>
      <t xml:space="preserve">     - Nitrous oxide (N</t>
    </r>
    <r>
      <rPr>
        <u val="single"/>
        <vertAlign val="subscript"/>
        <sz val="14"/>
        <color indexed="12"/>
        <rFont val="Times New Roman"/>
        <family val="1"/>
      </rPr>
      <t>2</t>
    </r>
    <r>
      <rPr>
        <u val="single"/>
        <sz val="14"/>
        <color indexed="12"/>
        <rFont val="Times New Roman"/>
        <family val="1"/>
      </rPr>
      <t>O)</t>
    </r>
  </si>
  <si>
    <t>Total</t>
  </si>
  <si>
    <t>Data Input</t>
  </si>
  <si>
    <t>Live weight gain</t>
  </si>
  <si>
    <t>kg /day</t>
  </si>
  <si>
    <t>DMD %</t>
  </si>
  <si>
    <t>%</t>
  </si>
  <si>
    <t>ME from DMD</t>
  </si>
  <si>
    <t>MJ/kg</t>
  </si>
  <si>
    <t xml:space="preserve">Milk Prod </t>
  </si>
  <si>
    <t>Gross Energy</t>
  </si>
  <si>
    <t>Methane Calculation</t>
  </si>
  <si>
    <t>MJ/head/day</t>
  </si>
  <si>
    <t>Intake relative to maintenance</t>
  </si>
  <si>
    <t>M = Y / 100 x GEI / F</t>
  </si>
  <si>
    <t>Jan</t>
  </si>
  <si>
    <t>Feb</t>
  </si>
  <si>
    <t>Mar</t>
  </si>
  <si>
    <t>Apr</t>
  </si>
  <si>
    <t>May</t>
  </si>
  <si>
    <t>Jun</t>
  </si>
  <si>
    <t>Jul</t>
  </si>
  <si>
    <t>Aug</t>
  </si>
  <si>
    <t>Sep</t>
  </si>
  <si>
    <t>Oct</t>
  </si>
  <si>
    <t>Nov</t>
  </si>
  <si>
    <t>Dec</t>
  </si>
  <si>
    <t>Crude Protein</t>
  </si>
  <si>
    <t>fraction</t>
  </si>
  <si>
    <t>kg/head/day</t>
  </si>
  <si>
    <t>kg/m3</t>
  </si>
  <si>
    <t xml:space="preserve">Heifers &gt;1 </t>
  </si>
  <si>
    <t xml:space="preserve">Heifers &lt;1 </t>
  </si>
  <si>
    <t>Heifers &gt;1</t>
  </si>
  <si>
    <t>Heifers &lt;1</t>
  </si>
  <si>
    <t>Dairy Bulls &gt;1</t>
  </si>
  <si>
    <t>Dairy Bulls &lt;1</t>
  </si>
  <si>
    <t>Milking Cows</t>
  </si>
  <si>
    <t>Grand Total</t>
  </si>
  <si>
    <t>Units</t>
  </si>
  <si>
    <t>LWG</t>
  </si>
  <si>
    <t>Manure Management Systems  (MMS)</t>
  </si>
  <si>
    <t>MMS = 1 Anaerobic lagoon</t>
  </si>
  <si>
    <t>MMS = 2 Liquid systems</t>
  </si>
  <si>
    <t>MMS = 3 Daily spread</t>
  </si>
  <si>
    <t>MMS = 4 Solid storage and drylot</t>
  </si>
  <si>
    <t>Fertiliser</t>
  </si>
  <si>
    <t>Animal waste</t>
  </si>
  <si>
    <t>Livestock Numbers</t>
  </si>
  <si>
    <t>kg LWt</t>
  </si>
  <si>
    <t>cow no.</t>
  </si>
  <si>
    <t>Heifer no.</t>
  </si>
  <si>
    <t>Bull nos</t>
  </si>
  <si>
    <t>Bull Nos</t>
  </si>
  <si>
    <t>litres/year</t>
  </si>
  <si>
    <t>KWh</t>
  </si>
  <si>
    <t>Annual Diesel Consumption</t>
  </si>
  <si>
    <t>CO</t>
  </si>
  <si>
    <t>NMVOC</t>
  </si>
  <si>
    <t>NOx</t>
  </si>
  <si>
    <t>Outputs</t>
  </si>
  <si>
    <t>Energy - Fuel and Electricity</t>
  </si>
  <si>
    <t>Farm Name</t>
  </si>
  <si>
    <t>Herd information</t>
  </si>
  <si>
    <t>Area cropped</t>
  </si>
  <si>
    <t>Area Improved Pasture</t>
  </si>
  <si>
    <t>ha</t>
  </si>
  <si>
    <t>Power Source</t>
  </si>
  <si>
    <t>Counter</t>
  </si>
  <si>
    <t xml:space="preserve">Black Coal </t>
  </si>
  <si>
    <t xml:space="preserve">Brown Coal-Victorian </t>
  </si>
  <si>
    <t xml:space="preserve">Brown Coal-Sth Australian </t>
  </si>
  <si>
    <t xml:space="preserve">Natural Gas-Steam </t>
  </si>
  <si>
    <t xml:space="preserve">Diesel </t>
  </si>
  <si>
    <t>Gg</t>
  </si>
  <si>
    <t>kg N/ year</t>
  </si>
  <si>
    <t>Summary</t>
  </si>
  <si>
    <t>High</t>
  </si>
  <si>
    <t>Med-High</t>
  </si>
  <si>
    <t>Med</t>
  </si>
  <si>
    <t>Med-Low</t>
  </si>
  <si>
    <t>Low</t>
  </si>
  <si>
    <t>Carbon sequestration potential of trees</t>
  </si>
  <si>
    <t>Years</t>
  </si>
  <si>
    <t>Pinus Radiata - Pine</t>
  </si>
  <si>
    <t>Eucalyptus globulus - Blue gum</t>
  </si>
  <si>
    <t>Eucalyptus saligna - Sydney blue gum</t>
  </si>
  <si>
    <t>Eucalyptus grandis - Rose gum</t>
  </si>
  <si>
    <t>Comybia maculata - Spotted gum</t>
  </si>
  <si>
    <t>Acacia melanoxylon - Blackwood</t>
  </si>
  <si>
    <t>Eucalyptus camaldulensis - River red gum</t>
  </si>
  <si>
    <t>Eucalyptus sideroxylon - Ironbark</t>
  </si>
  <si>
    <t>Eucalyptus cladocalyx - Sugar gum</t>
  </si>
  <si>
    <t>Casuarina cunninghamiana - She oak</t>
  </si>
  <si>
    <t>Rainfall</t>
  </si>
  <si>
    <t>from</t>
  </si>
  <si>
    <t>to</t>
  </si>
  <si>
    <t>mm/yr</t>
  </si>
  <si>
    <t>m3/ha/yr</t>
  </si>
  <si>
    <t>dry-tonne/ m3</t>
  </si>
  <si>
    <t>weight</t>
  </si>
  <si>
    <t>C content</t>
  </si>
  <si>
    <t>t CO2e/ha</t>
  </si>
  <si>
    <r>
      <t xml:space="preserve">     - Carbon dioxide (CO</t>
    </r>
    <r>
      <rPr>
        <u val="single"/>
        <vertAlign val="subscript"/>
        <sz val="14"/>
        <color indexed="12"/>
        <rFont val="Times New Roman"/>
        <family val="1"/>
      </rPr>
      <t>2</t>
    </r>
    <r>
      <rPr>
        <u val="single"/>
        <sz val="14"/>
        <color indexed="12"/>
        <rFont val="Times New Roman"/>
        <family val="1"/>
      </rPr>
      <t>)</t>
    </r>
  </si>
  <si>
    <t>Liveweight</t>
  </si>
  <si>
    <t>Area of Trees Planted after 1990</t>
  </si>
  <si>
    <t>Type of Trees planted</t>
  </si>
  <si>
    <t>hectares</t>
  </si>
  <si>
    <t>Tree plantings (after 1990)</t>
  </si>
  <si>
    <t>Rainfall Selection</t>
  </si>
  <si>
    <t>High (&gt;700)</t>
  </si>
  <si>
    <t>Low (&lt;500)</t>
  </si>
  <si>
    <t>Med (500 - 700)</t>
  </si>
  <si>
    <t>Results</t>
  </si>
  <si>
    <t>The objective of this tool is to create awareness of the various sources of greenhouse gas emissions on dairy farms, to stimulate thinking and action aimed at reducing these emissions while further improving farming efficiency.</t>
  </si>
  <si>
    <t>Nitrogen Fertiliser Crops</t>
  </si>
  <si>
    <t>Nitrogen Fertiliser Pasture</t>
  </si>
  <si>
    <t>N Fertiliser crops</t>
  </si>
  <si>
    <t>N Fertiliser Pastures</t>
  </si>
  <si>
    <t>Animal waste fraction volatilised</t>
  </si>
  <si>
    <t>Eucalyptus nitens - Shining gum</t>
  </si>
  <si>
    <t>MMS = 5 Digester</t>
  </si>
  <si>
    <t>MMS = 8 Pasture range and paddock</t>
  </si>
  <si>
    <t>GEI = I x 18.4</t>
  </si>
  <si>
    <t>http://www.climatechange.gov.au/en/publications/greenhouse-acctg/~/media/publications/greenhouse-acctg/NationalInventoryReport-2010-Vol-1.pdf</t>
  </si>
  <si>
    <t>The model is based on the Australian National Greenhouse Gas Inventory method, as published on the Australian Government Department of Climate Change and Energy Efficiency in April 2012. For more information, click on the link below:</t>
  </si>
  <si>
    <t>CH4</t>
  </si>
  <si>
    <t>N2O</t>
  </si>
  <si>
    <t>MI = MP x NE / k / qm / 18.4</t>
  </si>
  <si>
    <t>Weight of Cows</t>
  </si>
  <si>
    <t>Dry matter digestibility (DMD)</t>
  </si>
  <si>
    <t>MJ/kg DM</t>
  </si>
  <si>
    <t xml:space="preserve">Milk Production </t>
  </si>
  <si>
    <t>MR (milk metabolic rate increase)</t>
  </si>
  <si>
    <t>Feed Intake</t>
  </si>
  <si>
    <t>Live weight gain (LWG)</t>
  </si>
  <si>
    <t>Milk Production (MP)</t>
  </si>
  <si>
    <t>Gross Energy Intake (GEI)</t>
  </si>
  <si>
    <t>Y / 100 x GEI / 55.22 (MJ/kg CH4)</t>
  </si>
  <si>
    <t>kg CH4/head/day</t>
  </si>
  <si>
    <t>Annual Australian methane production (Gg) for all classes of dairy cattle across all states</t>
  </si>
  <si>
    <t>DIM</t>
  </si>
  <si>
    <t>Monthly Enteric Methane</t>
  </si>
  <si>
    <t>kg CO2-e/farm/year</t>
  </si>
  <si>
    <t>kg CH4/farm/month</t>
  </si>
  <si>
    <t>Months</t>
  </si>
  <si>
    <t>L milk/farm/month</t>
  </si>
  <si>
    <t>L milk/head/day</t>
  </si>
  <si>
    <t>VS = I x (1 - DMD) x (1 - A)</t>
  </si>
  <si>
    <t xml:space="preserve">Volatile solids (VS) </t>
  </si>
  <si>
    <t>Ash content (A)</t>
  </si>
  <si>
    <t>Methane production from manure</t>
  </si>
  <si>
    <t xml:space="preserve">M = VS x Bo x MCF x r </t>
  </si>
  <si>
    <t>MCF = Integrated methane conversion factor - based on the proportion  of different manure management regimes</t>
  </si>
  <si>
    <t>Emission potential (Bo)</t>
  </si>
  <si>
    <t>m3 CH4/kg VS</t>
  </si>
  <si>
    <t>Density of methane (r)</t>
  </si>
  <si>
    <t>The annual methane production (Gg) from the manure of dairy cattle</t>
  </si>
  <si>
    <t>Gg CH4/farm/year</t>
  </si>
  <si>
    <t>Gg CO2-e/farm/year</t>
  </si>
  <si>
    <t>CPI = I x CP</t>
  </si>
  <si>
    <t>Crude protein (CP) content of feed intake</t>
  </si>
  <si>
    <t>The crude protein intake of dairy cattle</t>
  </si>
  <si>
    <t xml:space="preserve">ME (Metabolisable energy) = 0.1604 x DMD - 1.037 </t>
  </si>
  <si>
    <t>1 / 6.25 = Factor for converting crude protein into nitrogen</t>
  </si>
  <si>
    <t>Nitrogen retained (NR) by the body</t>
  </si>
  <si>
    <t>Nitrogen excreted in faeces (F)</t>
  </si>
  <si>
    <t>Relative size (Z)</t>
  </si>
  <si>
    <t>Relative intake (L)</t>
  </si>
  <si>
    <t>Liveweight gain (LWG)</t>
  </si>
  <si>
    <t xml:space="preserve"> NSW/ACT  </t>
  </si>
  <si>
    <t xml:space="preserve"> Tasmania  </t>
  </si>
  <si>
    <t xml:space="preserve"> Western Australia  </t>
  </si>
  <si>
    <t xml:space="preserve"> South Australia  </t>
  </si>
  <si>
    <t xml:space="preserve"> Victoria  </t>
  </si>
  <si>
    <t xml:space="preserve"> Queensland  </t>
  </si>
  <si>
    <t xml:space="preserve"> Northern Territory  </t>
  </si>
  <si>
    <t>Dairy cattle standard reference weight to calculate realtive size (Z)</t>
  </si>
  <si>
    <t>Nitrogen excreted in urine (U)</t>
  </si>
  <si>
    <t>kg N/head/day</t>
  </si>
  <si>
    <t>The total emissions of nitrous oxide from different manure management systems (Total MMS)</t>
  </si>
  <si>
    <t>Factor to convert elemental mass of N2O to molecular mass (Cg)</t>
  </si>
  <si>
    <t>Emission factor (EF) = N2O-N kg/N excreted for the different manure management systems</t>
  </si>
  <si>
    <t>EF (kg N20-N kg/N excreted)</t>
  </si>
  <si>
    <t>Mass of fertiliser appplied (M)</t>
  </si>
  <si>
    <t>M = TM x FN</t>
  </si>
  <si>
    <t>Gg N</t>
  </si>
  <si>
    <t>TM = total mass of fertiliser</t>
  </si>
  <si>
    <t>FN = fraction of N applied to production system</t>
  </si>
  <si>
    <t>Biological nitrogen fixation</t>
  </si>
  <si>
    <t>The application of crop residues</t>
  </si>
  <si>
    <t>Atmospheric nitrogen deposition</t>
  </si>
  <si>
    <t>Leaching of organic nitrogen and subsequent denitrification in rivers and estuaries</t>
  </si>
  <si>
    <t>Annual N2O emissions from the addition of synthetic fertiliser (E)</t>
  </si>
  <si>
    <t>AE x MMS</t>
  </si>
  <si>
    <t>E / Cg</t>
  </si>
  <si>
    <t>MNatm</t>
  </si>
  <si>
    <t>Animal waste produced (milker)</t>
  </si>
  <si>
    <t>MMS</t>
  </si>
  <si>
    <t>MNatm = mass of animal wastes N volatilised</t>
  </si>
  <si>
    <t>M = P x R x DM x CC x NC</t>
  </si>
  <si>
    <t>M = mass of N fixed by crops and pastures</t>
  </si>
  <si>
    <t>P = annual production of crop</t>
  </si>
  <si>
    <t>R = residue to crop ratio</t>
  </si>
  <si>
    <t>kg crop residue/kg crop</t>
  </si>
  <si>
    <t xml:space="preserve">DM = dry matter content </t>
  </si>
  <si>
    <t>kg dry weight/kg crop residue</t>
  </si>
  <si>
    <t>CC = mass fraction of carbon in crop residue</t>
  </si>
  <si>
    <t>NC = nitrogen to carbon ratio in crop residue</t>
  </si>
  <si>
    <t>E = M x EF x Cg</t>
  </si>
  <si>
    <t>Annual N2O production from N fixing crops</t>
  </si>
  <si>
    <t>Gg N2O</t>
  </si>
  <si>
    <t>EF = 0.0125</t>
  </si>
  <si>
    <t>Gg N2O-N/Gg N</t>
  </si>
  <si>
    <t xml:space="preserve">The mass of N in crop residues returned to soils </t>
  </si>
  <si>
    <t>M = mass of N in crop residues</t>
  </si>
  <si>
    <t>F = fraction of the crop that is burnt</t>
  </si>
  <si>
    <t>FFOD = fraction of the crop that is removed</t>
  </si>
  <si>
    <t xml:space="preserve">Annual N2O production from crop residues </t>
  </si>
  <si>
    <t>Annual N2O production from cultivation of histosols</t>
  </si>
  <si>
    <t>E = A x EF x Cg x 10^-6</t>
  </si>
  <si>
    <t xml:space="preserve">A = area of cultivated histosols </t>
  </si>
  <si>
    <t>EF = 8</t>
  </si>
  <si>
    <t>kg N2O-N/ha</t>
  </si>
  <si>
    <t>M = TM x FracGASF</t>
  </si>
  <si>
    <t xml:space="preserve">M = mass of synthetic fertiliser volatilised </t>
  </si>
  <si>
    <t>FracGASF =0.1</t>
  </si>
  <si>
    <t>Gg N/Gg applied</t>
  </si>
  <si>
    <t xml:space="preserve">The mass of animal waste volatilised </t>
  </si>
  <si>
    <t>M = AE x MMS x FracGASM</t>
  </si>
  <si>
    <t>FracGASM = the fraction of N volatilised in each MMS</t>
  </si>
  <si>
    <t>M = E / (46/14)</t>
  </si>
  <si>
    <t>The mass of savanna burning and field burning of agricultural residue NOx-N emissions that volatilise (M)</t>
  </si>
  <si>
    <t>E = NOx emissions from savanna burning and field burning of agricultural residues</t>
  </si>
  <si>
    <t>Gg NOx</t>
  </si>
  <si>
    <t>46/14 = factor to convert elemental mass of NOx to molecular mass</t>
  </si>
  <si>
    <t>M = mass of N volatilised from subset k</t>
  </si>
  <si>
    <t>EF = 0.01</t>
  </si>
  <si>
    <t>The mass of fertiliser N applied to soils that is lost through leaching and runoff (M)</t>
  </si>
  <si>
    <t>M = mass of fertiliser in each production system</t>
  </si>
  <si>
    <t>The mass of animal waste N applied to soils that is lost through leaching and runoff (M)</t>
  </si>
  <si>
    <t>N2O emissions from synthetic fertiliser</t>
  </si>
  <si>
    <t>The nitrogen content of animal manure applied to agricultural soils</t>
  </si>
  <si>
    <t>M = (Mnsoil + UN soil + FN soil) x FracWET x FracLEACH</t>
  </si>
  <si>
    <t xml:space="preserve">EF = 0.0125 </t>
  </si>
  <si>
    <t>L/year</t>
  </si>
  <si>
    <t>Annual electricity use (F)</t>
  </si>
  <si>
    <t>Annual diesel consumption (F)</t>
  </si>
  <si>
    <t>kWh</t>
  </si>
  <si>
    <t>Gg CO2/PJ</t>
  </si>
  <si>
    <t>CO2 emission factor for ADO</t>
  </si>
  <si>
    <t>SO2</t>
  </si>
  <si>
    <t>g CO2/PJ</t>
  </si>
  <si>
    <t>CO2 emissions from diesel use</t>
  </si>
  <si>
    <t>Emission factor for CO2 (ADO) (EF)</t>
  </si>
  <si>
    <t>Oxidation factor for CO2 (P)</t>
  </si>
  <si>
    <t>E = F x D x P x EF x 10^-6</t>
  </si>
  <si>
    <t>Gg CO2</t>
  </si>
  <si>
    <t>Energy density for diesel (D)</t>
  </si>
  <si>
    <t>Gg/kL</t>
  </si>
  <si>
    <t>CO2 emissions from diesel use for non-CO2 gasses</t>
  </si>
  <si>
    <t>t CO2-e</t>
  </si>
  <si>
    <t>CO2 emissions from electricity use</t>
  </si>
  <si>
    <t>Australian Current Best Performance for Fuel Class</t>
  </si>
  <si>
    <t>Fuel type</t>
  </si>
  <si>
    <t>Thermal efficiency (%)</t>
  </si>
  <si>
    <t>kg CO2/MWh</t>
  </si>
  <si>
    <t>t CO2/kWh</t>
  </si>
  <si>
    <t>Tonnes CO2-e/KWh</t>
  </si>
  <si>
    <t>E = F x EF</t>
  </si>
  <si>
    <t>Total CO2-e emissions from diesel and electricity</t>
  </si>
  <si>
    <t>Total CO2-e emissions from diesel use</t>
  </si>
  <si>
    <t>Annual N2O production from atmospheric deposition (indirect ammonia)</t>
  </si>
  <si>
    <t>Total CO2-e emissions from indirect ammonia losses</t>
  </si>
  <si>
    <t>Total CO2-e emissions from leaching and runoff (indirect nitrate)</t>
  </si>
  <si>
    <t>Total CO2-e emissions from ammonia and nitrate</t>
  </si>
  <si>
    <t>head</t>
  </si>
  <si>
    <t>Spring</t>
  </si>
  <si>
    <t>Summer</t>
  </si>
  <si>
    <t>Autumn</t>
  </si>
  <si>
    <t>Winter</t>
  </si>
  <si>
    <t>Average</t>
  </si>
  <si>
    <t>kg/head</t>
  </si>
  <si>
    <t>Enter your farm data for each animal class and season</t>
  </si>
  <si>
    <t>Seasons</t>
  </si>
  <si>
    <t>I = (1.185 + 0.00454 x W - 0.0000026 x W^2 + 0.315 x LWG)^2 x MR + MI</t>
  </si>
  <si>
    <t>MP x 3.054 (MJ net energy/kg milk) / 0.6 / (0.00795 x DMD - 0.0014) / 18.4</t>
  </si>
  <si>
    <t>L = I / (1.185 + 0.00454 x W - 0.0000026 x W^2 + (0.315 x 0))^2</t>
  </si>
  <si>
    <t xml:space="preserve">Y = 1.3 + 0.112 x DMD + L x (2.37 - 0.050 x DMD) </t>
  </si>
  <si>
    <t>Gg CH4/year/farm</t>
  </si>
  <si>
    <t xml:space="preserve">Grand Total </t>
  </si>
  <si>
    <t>t CO2-e/year/farm</t>
  </si>
  <si>
    <t>Gg CO2-e/year/farm</t>
  </si>
  <si>
    <t>t CO2-e/farm/year</t>
  </si>
  <si>
    <t>Faecal nitrous oxide calculation</t>
  </si>
  <si>
    <t>kg DM/head/day</t>
  </si>
  <si>
    <t>4A.1a_1</t>
  </si>
  <si>
    <t>Additional intake for milk production</t>
  </si>
  <si>
    <t>4A.1a_2</t>
  </si>
  <si>
    <t>4A.1a_3</t>
  </si>
  <si>
    <t>4A.1a_4</t>
  </si>
  <si>
    <t>4A.1a_5</t>
  </si>
  <si>
    <t>4A.1a_6</t>
  </si>
  <si>
    <t>4A.1a_7</t>
  </si>
  <si>
    <t>Gg CH4/farm/season</t>
  </si>
  <si>
    <t>91.25 = number of days in a season</t>
  </si>
  <si>
    <t>E =(91.25 x N x M) x 10^-6</t>
  </si>
  <si>
    <t>4B.1a_1</t>
  </si>
  <si>
    <t>4B.1a_2</t>
  </si>
  <si>
    <t>Tasmania</t>
  </si>
  <si>
    <t>Western Australia</t>
  </si>
  <si>
    <t>South Australia</t>
  </si>
  <si>
    <t>Victoria</t>
  </si>
  <si>
    <t>Queensland</t>
  </si>
  <si>
    <t>Northern Territoy</t>
  </si>
  <si>
    <t>Other dairy cattle (%)</t>
  </si>
  <si>
    <t>Appendix 6.A.5</t>
  </si>
  <si>
    <t>Grand total</t>
  </si>
  <si>
    <t>4B.1a_3</t>
  </si>
  <si>
    <t>4B.1a_4</t>
  </si>
  <si>
    <t>4B.1a_5</t>
  </si>
  <si>
    <t>4B.1a_6</t>
  </si>
  <si>
    <t>4B.1a_7</t>
  </si>
  <si>
    <r>
      <t>U = (CPI / 6.25) - NR - F - [(1.1 x 10^-4</t>
    </r>
    <r>
      <rPr>
        <b/>
        <vertAlign val="superscript"/>
        <sz val="12"/>
        <rFont val="Times New Roman"/>
        <family val="1"/>
      </rPr>
      <t xml:space="preserve"> </t>
    </r>
    <r>
      <rPr>
        <b/>
        <sz val="12"/>
        <rFont val="Times New Roman"/>
        <family val="1"/>
      </rPr>
      <t xml:space="preserve"> x W^0.75) / 6.25]</t>
    </r>
  </si>
  <si>
    <t>4B.1a_8a</t>
  </si>
  <si>
    <t>4B.1a_8b</t>
  </si>
  <si>
    <t>AF = ∑ (91.25 x N x F) x 10^-6</t>
  </si>
  <si>
    <t>AU = ∑ (91.25 x N x U) x 10^-6</t>
  </si>
  <si>
    <t>Gg N/farm/season</t>
  </si>
  <si>
    <t>AE =AF + AU</t>
  </si>
  <si>
    <t xml:space="preserve">Total seasonal faecal (AF) nitrogen excreted </t>
  </si>
  <si>
    <t>Total seasonal urinary (AU) nitrogen excreted</t>
  </si>
  <si>
    <t>4B.1a_9c</t>
  </si>
  <si>
    <t>Manure management for milking cows</t>
  </si>
  <si>
    <t>Manure management for other dairy cows</t>
  </si>
  <si>
    <t>kg N/season</t>
  </si>
  <si>
    <t>4D1_1</t>
  </si>
  <si>
    <t>Appendix 6.H.1</t>
  </si>
  <si>
    <t>Gg N/season</t>
  </si>
  <si>
    <t>EF = Emission factor</t>
  </si>
  <si>
    <t>Table 6.22</t>
  </si>
  <si>
    <t>Production system</t>
  </si>
  <si>
    <t>Emission factor</t>
  </si>
  <si>
    <t>Irrigated pasture</t>
  </si>
  <si>
    <t>Irrigated crop</t>
  </si>
  <si>
    <t>Non-irrigated pasture</t>
  </si>
  <si>
    <t>Non-irrigated crop</t>
  </si>
  <si>
    <t>Sugar cane</t>
  </si>
  <si>
    <t>Cotton</t>
  </si>
  <si>
    <t>Horticulture</t>
  </si>
  <si>
    <t>Gg N2O/farm/year</t>
  </si>
  <si>
    <t>Grand total from fertiliser application</t>
  </si>
  <si>
    <t>AE = mass of nitrogen excreted</t>
  </si>
  <si>
    <t>E = total emissions of N2O from different manure management systems (total MMS)</t>
  </si>
  <si>
    <t>Table 6.31</t>
  </si>
  <si>
    <t>4D1_2</t>
  </si>
  <si>
    <t>4D1_3</t>
  </si>
  <si>
    <t>4D1_4</t>
  </si>
  <si>
    <t>E = MN soil x EF x Cg</t>
  </si>
  <si>
    <t>E = AE x MMS x EF x Cg</t>
  </si>
  <si>
    <t>MMS = The fraction of AE that is managed in different manure management systems</t>
  </si>
  <si>
    <t>Total emissions (E)</t>
  </si>
  <si>
    <t>Total emissions</t>
  </si>
  <si>
    <t>Digester (%)</t>
  </si>
  <si>
    <t>Animal waste produced (heifers &gt;1)</t>
  </si>
  <si>
    <t>Animal waste produced (heifers &lt;1)</t>
  </si>
  <si>
    <t>Animal waste produced (bulls &gt; 1)</t>
  </si>
  <si>
    <t>Animal waste produced (bulls &lt; 1)</t>
  </si>
  <si>
    <t>Animal waste volatilised (milker)</t>
  </si>
  <si>
    <t>Animal waste volatilised (heifers &gt;1)</t>
  </si>
  <si>
    <t>Animal waste volatilised (heifers &lt;1)</t>
  </si>
  <si>
    <t>Animal waste volatilised (bulls &gt; 1)</t>
  </si>
  <si>
    <t>Animal waste volatilised (bulls &lt; 1)</t>
  </si>
  <si>
    <t>(Total stored animal waste volatilised)</t>
  </si>
  <si>
    <t>Subtotal (MN soil)</t>
  </si>
  <si>
    <t>(Manure)</t>
  </si>
  <si>
    <t>Gg N2O/farm/season</t>
  </si>
  <si>
    <t>4D1_5</t>
  </si>
  <si>
    <t>Not used currently</t>
  </si>
  <si>
    <t>4D1_6</t>
  </si>
  <si>
    <t>4D1_7</t>
  </si>
  <si>
    <t>4D1_8</t>
  </si>
  <si>
    <t>4D1_9</t>
  </si>
  <si>
    <t>4D3_1</t>
  </si>
  <si>
    <t>4D3_2</t>
  </si>
  <si>
    <t>4D3_3</t>
  </si>
  <si>
    <t>4D3_4</t>
  </si>
  <si>
    <t>4D3_5</t>
  </si>
  <si>
    <t>4D3_6</t>
  </si>
  <si>
    <t>4D3_7</t>
  </si>
  <si>
    <t>Mass of animal waste volatilised</t>
  </si>
  <si>
    <t>Total emissions (exc pasture)</t>
  </si>
  <si>
    <t>Seasonal faecal and urinary nitrogen excreted (AE)</t>
  </si>
  <si>
    <t>M = P x R x DM x CC x NC x (1- F - FFOD)</t>
  </si>
  <si>
    <t>The three main greenhouse gasses (GHG) emitted at a dairy farm scale and contribute to global warming are:</t>
  </si>
  <si>
    <t>Faecal methane production</t>
  </si>
  <si>
    <t>N2O emissions from animal waste</t>
  </si>
  <si>
    <t>Animal production</t>
  </si>
  <si>
    <t>The faecal and urinary nitrogen excreted on pasture and paddock</t>
  </si>
  <si>
    <t>4D2</t>
  </si>
  <si>
    <t>FN soil = AF x MMS</t>
  </si>
  <si>
    <t>4D2_1</t>
  </si>
  <si>
    <t>4D2_2</t>
  </si>
  <si>
    <t>UN soil = AU x MMS</t>
  </si>
  <si>
    <t>E = (FN soil x EF x Cg) + (UN soil x EF x Cg)</t>
  </si>
  <si>
    <t>Total N2O emissions from manure, faeces and urine</t>
  </si>
  <si>
    <t>4D2_3</t>
  </si>
  <si>
    <t>Solid storage (%)</t>
  </si>
  <si>
    <t>Drylot (%)</t>
  </si>
  <si>
    <t>FracWET =</t>
  </si>
  <si>
    <t xml:space="preserve"> fraction of N available for leaching and runoff</t>
  </si>
  <si>
    <t xml:space="preserve">FracLEACH = </t>
  </si>
  <si>
    <t>Appendix 6.J.1</t>
  </si>
  <si>
    <t>L/day/head</t>
  </si>
  <si>
    <t xml:space="preserve">     - Indirect emissions from ammonia volatilisation and nitrate leaching &amp; runoff</t>
  </si>
  <si>
    <t xml:space="preserve">     - Direct emissions from N fertiliser application (both synthetic and organic), and animal waste deposition (faeces and urine), and</t>
  </si>
  <si>
    <t>Planting trees and carbon sequestration</t>
  </si>
  <si>
    <t xml:space="preserve">To allow users to explore the value of planting trees, an option is included in the model to choose the type of trees and the rainfall zone, with the total carbon removed by trees being subtracted off the farm greenhouse gas emission total. Remember, this is a guide only, as actual tree growth depends on the local growing conditions and the carbon sequestered varies with the age of the plantation. </t>
  </si>
  <si>
    <t>F = {0.3 x (CPI x (1 - [(DMD + 10) / 100])) + 0.105 x (ME x I x 0.008) + (0.0152 x I)} / 6.25</t>
  </si>
  <si>
    <r>
      <t>NR = {(0.032 x MP) + {0.212-0.008 x (L</t>
    </r>
    <r>
      <rPr>
        <b/>
        <vertAlign val="subscript"/>
        <sz val="12"/>
        <rFont val="Times New Roman"/>
        <family val="1"/>
      </rPr>
      <t xml:space="preserve"> </t>
    </r>
    <r>
      <rPr>
        <b/>
        <sz val="12"/>
        <rFont val="Times New Roman"/>
        <family val="1"/>
      </rPr>
      <t>- 2) - [(0.140 - 0.008 x (L</t>
    </r>
    <r>
      <rPr>
        <b/>
        <vertAlign val="subscript"/>
        <sz val="12"/>
        <rFont val="Times New Roman"/>
        <family val="1"/>
      </rPr>
      <t xml:space="preserve"> </t>
    </r>
    <r>
      <rPr>
        <b/>
        <sz val="12"/>
        <rFont val="Times New Roman"/>
        <family val="1"/>
      </rPr>
      <t>- 2)) / (1+exp x (-6 x (Z - 0.4)))]} x (LWG x 0.92)} /6.25</t>
    </r>
  </si>
  <si>
    <t>Table 6.A.7</t>
  </si>
  <si>
    <t>Table 6.12</t>
  </si>
  <si>
    <t>E = (M x EF x Cg)</t>
  </si>
  <si>
    <t>N2O emissions from animal waste (manure) applied to soils</t>
  </si>
  <si>
    <t>MN soil = ((AE x MMS) - (E / Cg) - MNatm</t>
  </si>
  <si>
    <t>Total N2O production from animal waste voided in the field by grazing livestock</t>
  </si>
  <si>
    <t>Pasture range and paddock (%)</t>
  </si>
  <si>
    <t>M = M x FracWET x FracLEACH</t>
  </si>
  <si>
    <t>Mnsoil = mass of manure N applied to soils (animal wastes applied to soils)</t>
  </si>
  <si>
    <t>Unsoil = mass of urinary N applied to soils (animal production)</t>
  </si>
  <si>
    <t>Fnsoil =mass of faecal N applied to soils (animal production)</t>
  </si>
  <si>
    <t>M = mass of N lost through leaching and runoff</t>
  </si>
  <si>
    <t>Total N2O production from leaching and runoff</t>
  </si>
  <si>
    <t>% of GEI that is yielded as methane (Y)</t>
  </si>
  <si>
    <t>kcal/100 kcal feed</t>
  </si>
  <si>
    <t>Total = (91.25 x N x M) x 10^-6</t>
  </si>
  <si>
    <t xml:space="preserve">Enteric methane production </t>
  </si>
  <si>
    <t>Nitrous Oxide production from different manure management systems (MMS)</t>
  </si>
  <si>
    <t>Nitrous Oxide production from agricultural soils</t>
  </si>
  <si>
    <t>Farm Name:</t>
  </si>
  <si>
    <t>General softwoods</t>
  </si>
  <si>
    <t>Generic hardwood</t>
  </si>
  <si>
    <t>Mixed hardwoods</t>
  </si>
  <si>
    <t xml:space="preserve">By entering in some simple data, which most dairy farmers are likely to have available, the model presents the user with a greenhouse gas emission profile for their farm. The model also then breaks down these greenhouse gas emissions into the various sources, and where they are coming from on the farm. The user can then conduct some "What if" scenarios, to explore the greenhouse gas impact of changes to farm management. </t>
  </si>
  <si>
    <t xml:space="preserve">Methane is the major GHG produced on dairy farms and is primarily sourced from:
1. Enteric fermentation (digestion in the rumen) and
2. Manure (effluent) management systems.  
</t>
  </si>
  <si>
    <t xml:space="preserve">Methane emissions from livestock systems are considered as energy loss from the system. This means that reducing methane could mean more animal product such as milk and meat. The main factors affecting methane production are feed type and quality, level of feed intake, and type and age of the animal. Enteric methane production is minimised by feeding high quality forages (perennial ryegrass/white clover pasture), supplemented with grain and/or oils, particularly where the protein to energy ratio in the ration has been balanced. Any mitigation strategy, however, according to the current policy requirements (Carbon Farming Initiative, CFI 2010), must lead to reduced emissions beyond what is common practice in a sector. For other policy requirements and more information, visit Australian Government Department of Climate Change and Energy Efficiency website or refer to CFI consultation paper.                                                                                                                                                                                                                                                                                                            
</t>
  </si>
  <si>
    <t>Methane</t>
  </si>
  <si>
    <r>
      <t xml:space="preserve">Strategies to reduce enteric methane production include:
</t>
    </r>
    <r>
      <rPr>
        <b/>
        <sz val="14"/>
        <rFont val="Times New Roman"/>
        <family val="1"/>
      </rPr>
      <t xml:space="preserve">1. Animal manipulation : </t>
    </r>
    <r>
      <rPr>
        <sz val="14"/>
        <rFont val="Times New Roman"/>
        <family val="1"/>
      </rPr>
      <t xml:space="preserve">Breeding animals with greater feed-conversion efficiency and/or reduced methanogenesis should reduce methane emissions from cows.
</t>
    </r>
  </si>
  <si>
    <r>
      <rPr>
        <b/>
        <sz val="14"/>
        <rFont val="Times New Roman"/>
        <family val="1"/>
      </rPr>
      <t xml:space="preserve">3. Rumen manipulation : </t>
    </r>
    <r>
      <rPr>
        <sz val="14"/>
        <rFont val="Times New Roman"/>
        <family val="1"/>
      </rPr>
      <t>This may include vaccination against methanogens, or bacteriophages or bacteriocins as biological control strategies. The use of probiotics, archaeal viruses, reductive acetogens, methane oxidisers and propionate enhancers are still largely under research, with no practical options available as yet.</t>
    </r>
  </si>
  <si>
    <t>Nitrous oxide</t>
  </si>
  <si>
    <t xml:space="preserve">Nitrous oxide emissions in dairy farms are sourced primarily from: </t>
  </si>
  <si>
    <t>Farmers should consider strategic fertiliser management practices in order to reduce nitrous oxide emissions and improve nitrogen efficiency. It is important to remember that responses to N fertiliser will vary according to season and the fertiliser application rate. N fertiliser should only be applied when the pasture is actively growing and can utilise the N. A moderate level of N fertiliser application is recommended to be around 50 kg N/ha in any single application. The optimum time to apply N fertiliser is usually the period from grazing up to a maximum two weeks after grazing. Some of the factors that limit the pasture growth rate and sward quality and therefore reduce the responses to N fertiliser are soil type, low soil fertility, cold and excessively wet or dry weather conditions.</t>
  </si>
  <si>
    <t>Carbon dioxide</t>
  </si>
  <si>
    <t>Direct emissions from dairy farms are mainly sourced from diesel and electricity consumption. There are a number of options now available to significantly improve energy efficiency in dairies, while reducing power costs.</t>
  </si>
  <si>
    <r>
      <rPr>
        <b/>
        <sz val="14"/>
        <rFont val="Times New Roman"/>
        <family val="1"/>
      </rPr>
      <t xml:space="preserve">2. Diet manipulation : </t>
    </r>
    <r>
      <rPr>
        <sz val="14"/>
        <rFont val="Times New Roman"/>
        <family val="1"/>
      </rPr>
      <t xml:space="preserve">Increasing the diet quality, through improved pastures and adding concentrates will reduce methane and improve efficiency. Adding fats supplements like whole cotton seed, hominy meal, brewers grain and cold-pressed canola, will reduce methane emissions. However, these fats should not be more than 6-7% of the dietary dry matter (DM) otherwise DM intake will be reduced; this may mean that fats can only really be added during periods of low pasture quality (eg. summer in southern Australia). </t>
    </r>
  </si>
  <si>
    <t>Lagoon</t>
  </si>
  <si>
    <t>Liquid/Slurry</t>
  </si>
  <si>
    <t>Daily spread</t>
  </si>
  <si>
    <t>Solid storage</t>
  </si>
  <si>
    <t>Drylot</t>
  </si>
  <si>
    <t>Pasture</t>
  </si>
  <si>
    <t>This tool may be of assistance to you, but the University of Melbourne and the State of Victoria and its employees do not guarantee that the tool or information contained therein is without flaw of any kind, or is wholly appropriate for your particular purposes and therefore disclaims all liability for any error, loss or other consequence which may arise from reliance on any information contained herein.
Please Note:
a) These methods are continually changing, so we take no responsibility for the currency of the tool, and
b) Professional advice should be sought on the interpretation of the results.</t>
  </si>
  <si>
    <t>% of all excreta</t>
  </si>
  <si>
    <r>
      <t>t CO</t>
    </r>
    <r>
      <rPr>
        <b/>
        <vertAlign val="subscript"/>
        <sz val="11"/>
        <rFont val="Times New Roman"/>
        <family val="1"/>
      </rPr>
      <t>2</t>
    </r>
    <r>
      <rPr>
        <b/>
        <sz val="11"/>
        <rFont val="Times New Roman"/>
        <family val="1"/>
      </rPr>
      <t>e/farm</t>
    </r>
  </si>
  <si>
    <r>
      <t>CO</t>
    </r>
    <r>
      <rPr>
        <vertAlign val="subscript"/>
        <sz val="11"/>
        <color indexed="8"/>
        <rFont val="Times New Roman"/>
        <family val="1"/>
      </rPr>
      <t>2</t>
    </r>
  </si>
  <si>
    <r>
      <t>CH</t>
    </r>
    <r>
      <rPr>
        <vertAlign val="subscript"/>
        <sz val="11"/>
        <color indexed="8"/>
        <rFont val="Times New Roman"/>
        <family val="1"/>
      </rPr>
      <t>4</t>
    </r>
  </si>
  <si>
    <r>
      <t>N</t>
    </r>
    <r>
      <rPr>
        <vertAlign val="subscript"/>
        <sz val="11"/>
        <color indexed="8"/>
        <rFont val="Times New Roman"/>
        <family val="1"/>
      </rPr>
      <t>2</t>
    </r>
    <r>
      <rPr>
        <sz val="11"/>
        <color indexed="8"/>
        <rFont val="Times New Roman"/>
        <family val="1"/>
      </rPr>
      <t>O</t>
    </r>
  </si>
  <si>
    <r>
      <t>CH</t>
    </r>
    <r>
      <rPr>
        <vertAlign val="subscript"/>
        <sz val="11"/>
        <color indexed="8"/>
        <rFont val="Times New Roman"/>
        <family val="1"/>
      </rPr>
      <t>4</t>
    </r>
    <r>
      <rPr>
        <sz val="11"/>
        <color indexed="8"/>
        <rFont val="Times New Roman"/>
        <family val="1"/>
      </rPr>
      <t xml:space="preserve"> - Enteric</t>
    </r>
  </si>
  <si>
    <r>
      <t>N</t>
    </r>
    <r>
      <rPr>
        <vertAlign val="subscript"/>
        <sz val="11"/>
        <color indexed="8"/>
        <rFont val="Times New Roman"/>
        <family val="1"/>
      </rPr>
      <t>2</t>
    </r>
    <r>
      <rPr>
        <sz val="11"/>
        <color indexed="8"/>
        <rFont val="Times New Roman"/>
        <family val="1"/>
      </rPr>
      <t>O - N Fertiliser</t>
    </r>
  </si>
  <si>
    <r>
      <t>N</t>
    </r>
    <r>
      <rPr>
        <vertAlign val="subscript"/>
        <sz val="11"/>
        <color indexed="8"/>
        <rFont val="Times New Roman"/>
        <family val="1"/>
      </rPr>
      <t>2</t>
    </r>
    <r>
      <rPr>
        <sz val="11"/>
        <color indexed="8"/>
        <rFont val="Times New Roman"/>
        <family val="1"/>
      </rPr>
      <t>O - Indirect</t>
    </r>
  </si>
  <si>
    <r>
      <t>N</t>
    </r>
    <r>
      <rPr>
        <vertAlign val="subscript"/>
        <sz val="11"/>
        <color indexed="8"/>
        <rFont val="Times New Roman"/>
        <family val="1"/>
      </rPr>
      <t>2</t>
    </r>
    <r>
      <rPr>
        <sz val="11"/>
        <color indexed="8"/>
        <rFont val="Times New Roman"/>
        <family val="1"/>
      </rPr>
      <t>O - Manure, faeces and urine</t>
    </r>
  </si>
  <si>
    <r>
      <t>CH</t>
    </r>
    <r>
      <rPr>
        <vertAlign val="subscript"/>
        <sz val="11"/>
        <color indexed="8"/>
        <rFont val="Times New Roman"/>
        <family val="1"/>
      </rPr>
      <t xml:space="preserve">4 </t>
    </r>
    <r>
      <rPr>
        <sz val="11"/>
        <color indexed="8"/>
        <rFont val="Times New Roman"/>
        <family val="1"/>
      </rPr>
      <t>- Manure</t>
    </r>
  </si>
  <si>
    <r>
      <t>N</t>
    </r>
    <r>
      <rPr>
        <vertAlign val="subscript"/>
        <sz val="11"/>
        <color indexed="8"/>
        <rFont val="Times New Roman"/>
        <family val="1"/>
      </rPr>
      <t>2</t>
    </r>
    <r>
      <rPr>
        <sz val="11"/>
        <color indexed="8"/>
        <rFont val="Times New Roman"/>
        <family val="1"/>
      </rPr>
      <t>O - Manure</t>
    </r>
  </si>
  <si>
    <r>
      <t>CO</t>
    </r>
    <r>
      <rPr>
        <vertAlign val="subscript"/>
        <sz val="11"/>
        <color indexed="8"/>
        <rFont val="Times New Roman"/>
        <family val="1"/>
      </rPr>
      <t>2</t>
    </r>
    <r>
      <rPr>
        <sz val="11"/>
        <color indexed="8"/>
        <rFont val="Times New Roman"/>
        <family val="1"/>
      </rPr>
      <t xml:space="preserve"> - Energy</t>
    </r>
  </si>
  <si>
    <t>Note no input can be made from this page - to input your data go to the Data Input tab</t>
  </si>
  <si>
    <t>Manure management milkers</t>
  </si>
  <si>
    <t>Manure management others</t>
  </si>
  <si>
    <t>Digester</t>
  </si>
  <si>
    <t>Manure management %</t>
  </si>
  <si>
    <t>The total nitrous oxide emissions on dairy farms are directly related to fertiliser, effluent and manure inputs. When N fertilisers are applied but not utilised by plant growth, the proportion of N that is not utilised can be lost to the environment through volatilisation, leaching and/or denitrification, producing various forms of N such as ammonia, nitrate and nitrous oxide. Under grazing conditions, the major source of ammonia volatilisation is from urine. Nitrous oxide emissions are maximised in warm and waterlogged soils, with liberal soil nitrate present. In the current calculator, all dairy farmers are assumed to receive enough water for nitrate to leach (through either irrigation or farming in high rainfall areas).</t>
  </si>
  <si>
    <t>N fertiliser crops</t>
  </si>
  <si>
    <t>N fertiliser pastures</t>
  </si>
  <si>
    <t>kg N/ha</t>
  </si>
  <si>
    <t>Livestock numbers</t>
  </si>
  <si>
    <t>Crude protein (CP) content of  feed</t>
  </si>
  <si>
    <t>Choose your region in Australia</t>
  </si>
  <si>
    <t>Where does the farm draw its electricity from?</t>
  </si>
  <si>
    <t>Choose the type of trees planted</t>
  </si>
  <si>
    <t>Chose rainfall in your area</t>
  </si>
  <si>
    <t xml:space="preserve">Livestock numbers </t>
  </si>
  <si>
    <t>Inventory reference</t>
  </si>
  <si>
    <t>Daily Methane Yield (M)</t>
  </si>
  <si>
    <t>Livestock numbers (N)</t>
  </si>
  <si>
    <t>Liveweight (W)</t>
  </si>
  <si>
    <t>Milk production (MP)</t>
  </si>
  <si>
    <t xml:space="preserve">EF (manure) </t>
  </si>
  <si>
    <t>EF (faeces)</t>
  </si>
  <si>
    <t>EF (urine)</t>
  </si>
  <si>
    <t>F = annual diesel consumption</t>
  </si>
  <si>
    <t>D = energy density for diesel</t>
  </si>
  <si>
    <t>P = oxidation factor for CO2</t>
  </si>
  <si>
    <t>Emission factor (electricity) (EF)</t>
  </si>
  <si>
    <t>F = Annual electricity use</t>
  </si>
  <si>
    <t>EF = emission factor</t>
  </si>
  <si>
    <t>Lagoon (%)</t>
  </si>
  <si>
    <t>Liquid/Slurry (%)</t>
  </si>
  <si>
    <t>Daily Spread (%)</t>
  </si>
  <si>
    <t>Dairy Bulls&gt;1</t>
  </si>
  <si>
    <t>Dairy Bulls&lt;1</t>
  </si>
  <si>
    <t>Welcome to the Dairy Greenhouse Accounting Framework (D-GAF)</t>
  </si>
  <si>
    <r>
      <t>Dairy - Greenhouse Accounting Decision Support Framework</t>
    </r>
  </si>
  <si>
    <t>voided at pasture</t>
  </si>
  <si>
    <t>MCF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</si>
</sst>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00"/>
    <numFmt numFmtId="166" formatCode="0.0000"/>
    <numFmt numFmtId="167" formatCode="0.000"/>
    <numFmt numFmtId="168" formatCode="0.0"/>
    <numFmt numFmtId="169" formatCode="0.0000000"/>
    <numFmt numFmtId="170" formatCode="_-* #,##0_-;\-* #,##0_-;_-* &quot;-&quot;??_-;_-@_-"/>
    <numFmt numFmtId="171" formatCode="_-* #,##0.0000_-;\-* #,##0.0000_-;_-* &quot;-&quot;??_-;_-@_-"/>
    <numFmt numFmtId="172" formatCode="_-* #,##0.00000_-;\-* #,##0.00000_-;_-* &quot;-&quot;??_-;_-@_-"/>
    <numFmt numFmtId="173" formatCode="0.00000000"/>
    <numFmt numFmtId="174" formatCode="0.000000000"/>
    <numFmt numFmtId="175" formatCode="0.00000000000"/>
  </numFmts>
  <fonts count="86">
    <font>
      <sz val="10"/>
      <name val="Arial"/>
      <family val="0"/>
    </font>
    <font>
      <sz val="10"/>
      <color indexed="8"/>
      <name val="Times New Roman"/>
      <family val="2"/>
    </font>
    <font>
      <sz val="11"/>
      <name val="Times New Roman"/>
      <family val="1"/>
    </font>
    <font>
      <sz val="12"/>
      <name val="Times New Roman"/>
      <family val="1"/>
    </font>
    <font>
      <b/>
      <sz val="12"/>
      <name val="Times New Roman"/>
      <family val="1"/>
    </font>
    <font>
      <b/>
      <sz val="11"/>
      <name val="Times New Roman"/>
      <family val="1"/>
    </font>
    <font>
      <sz val="10"/>
      <name val="Times New Roman"/>
      <family val="1"/>
    </font>
    <font>
      <b/>
      <i/>
      <sz val="12"/>
      <name val="Times New Roman"/>
      <family val="1"/>
    </font>
    <font>
      <u val="single"/>
      <sz val="10"/>
      <color indexed="12"/>
      <name val="Arial"/>
      <family val="2"/>
    </font>
    <font>
      <sz val="14"/>
      <name val="Times New Roman"/>
      <family val="1"/>
    </font>
    <font>
      <sz val="8"/>
      <name val="Tahoma"/>
      <family val="2"/>
    </font>
    <font>
      <b/>
      <vertAlign val="subscript"/>
      <sz val="12"/>
      <name val="Times New Roman"/>
      <family val="1"/>
    </font>
    <font>
      <b/>
      <sz val="12"/>
      <color indexed="12"/>
      <name val="Times New Roman"/>
      <family val="1"/>
    </font>
    <font>
      <sz val="14"/>
      <name val="Arial"/>
      <family val="2"/>
    </font>
    <font>
      <b/>
      <sz val="14"/>
      <name val="Times New Roman"/>
      <family val="1"/>
    </font>
    <font>
      <u val="single"/>
      <sz val="14"/>
      <color indexed="12"/>
      <name val="Times New Roman"/>
      <family val="1"/>
    </font>
    <font>
      <u val="single"/>
      <vertAlign val="subscript"/>
      <sz val="14"/>
      <color indexed="12"/>
      <name val="Times New Roman"/>
      <family val="1"/>
    </font>
    <font>
      <b/>
      <vertAlign val="superscript"/>
      <sz val="12"/>
      <name val="Times New Roman"/>
      <family val="1"/>
    </font>
    <font>
      <sz val="11"/>
      <name val="Arial"/>
      <family val="2"/>
    </font>
    <font>
      <b/>
      <sz val="10"/>
      <name val="Times New Roman"/>
      <family val="1"/>
    </font>
    <font>
      <b/>
      <sz val="16"/>
      <name val="Times New Roman"/>
      <family val="1"/>
    </font>
    <font>
      <sz val="11"/>
      <color indexed="8"/>
      <name val="Times New Roman"/>
      <family val="1"/>
    </font>
    <font>
      <b/>
      <vertAlign val="subscript"/>
      <sz val="11"/>
      <name val="Times New Roman"/>
      <family val="1"/>
    </font>
    <font>
      <vertAlign val="subscript"/>
      <sz val="11"/>
      <color indexed="8"/>
      <name val="Times New Roman"/>
      <family val="1"/>
    </font>
    <font>
      <sz val="12"/>
      <color indexed="8"/>
      <name val="Times New Roman"/>
      <family val="1"/>
    </font>
    <font>
      <sz val="11"/>
      <color indexed="8"/>
      <name val="Calibri"/>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u val="single"/>
      <sz val="10"/>
      <color indexed="20"/>
      <name val="Arial"/>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2"/>
      <color indexed="8"/>
      <name val="Times New Roman"/>
      <family val="1"/>
    </font>
    <font>
      <sz val="12"/>
      <color indexed="50"/>
      <name val="Times New Roman"/>
      <family val="1"/>
    </font>
    <font>
      <sz val="12"/>
      <color indexed="10"/>
      <name val="Times New Roman"/>
      <family val="1"/>
    </font>
    <font>
      <sz val="11"/>
      <color indexed="46"/>
      <name val="Times New Roman"/>
      <family val="1"/>
    </font>
    <font>
      <b/>
      <sz val="11"/>
      <color indexed="8"/>
      <name val="Times New Roman"/>
      <family val="1"/>
    </font>
    <font>
      <sz val="11"/>
      <color indexed="31"/>
      <name val="Times New Roman"/>
      <family val="1"/>
    </font>
    <font>
      <i/>
      <sz val="10"/>
      <color indexed="10"/>
      <name val="Times New Roman"/>
      <family val="1"/>
    </font>
    <font>
      <sz val="8.25"/>
      <color indexed="8"/>
      <name val="Arial"/>
      <family val="2"/>
    </font>
    <font>
      <sz val="8"/>
      <color indexed="8"/>
      <name val="Times New Roman"/>
      <family val="1"/>
    </font>
    <font>
      <sz val="4.5"/>
      <color indexed="8"/>
      <name val="Times New Roman"/>
      <family val="1"/>
    </font>
    <font>
      <sz val="6"/>
      <color indexed="8"/>
      <name val="Times New Roman"/>
      <family val="1"/>
    </font>
    <font>
      <b/>
      <sz val="8"/>
      <color indexed="8"/>
      <name val="Times New Roman"/>
      <family val="1"/>
    </font>
    <font>
      <sz val="10.1"/>
      <color indexed="8"/>
      <name val="Times New Roman"/>
      <family val="1"/>
    </font>
    <font>
      <b/>
      <sz val="14"/>
      <color indexed="8"/>
      <name val="Times New Roman"/>
      <family val="1"/>
    </font>
    <font>
      <sz val="10"/>
      <color theme="1"/>
      <name val="Times New Roman"/>
      <family val="2"/>
    </font>
    <font>
      <sz val="11"/>
      <color theme="1"/>
      <name val="Calibri"/>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u val="single"/>
      <sz val="10"/>
      <color theme="11"/>
      <name val="Arial"/>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sz val="12"/>
      <color theme="1"/>
      <name val="Times New Roman"/>
      <family val="1"/>
    </font>
    <font>
      <b/>
      <sz val="12"/>
      <color theme="1"/>
      <name val="Times New Roman"/>
      <family val="1"/>
    </font>
    <font>
      <sz val="12"/>
      <color rgb="FF92D050"/>
      <name val="Times New Roman"/>
      <family val="1"/>
    </font>
    <font>
      <sz val="12"/>
      <color rgb="FFFF0000"/>
      <name val="Times New Roman"/>
      <family val="1"/>
    </font>
    <font>
      <sz val="11"/>
      <color theme="1"/>
      <name val="Times New Roman"/>
      <family val="1"/>
    </font>
    <font>
      <sz val="11"/>
      <color theme="7" tint="0.5999900102615356"/>
      <name val="Times New Roman"/>
      <family val="1"/>
    </font>
    <font>
      <b/>
      <sz val="11"/>
      <color theme="1"/>
      <name val="Times New Roman"/>
      <family val="1"/>
    </font>
    <font>
      <sz val="11"/>
      <color rgb="FFCCCCFF"/>
      <name val="Times New Roman"/>
      <family val="1"/>
    </font>
    <font>
      <i/>
      <sz val="10"/>
      <color rgb="FFFF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AFDD1"/>
        <bgColor indexed="64"/>
      </patternFill>
    </fill>
    <fill>
      <patternFill patternType="solid">
        <fgColor rgb="FFFFFF99"/>
        <bgColor indexed="64"/>
      </patternFill>
    </fill>
    <fill>
      <patternFill patternType="solid">
        <fgColor theme="2" tint="-0.0999699980020523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right/>
      <top/>
      <bottom style="medium"/>
    </border>
    <border>
      <left style="medium"/>
      <right/>
      <top/>
      <bottom style="medium"/>
    </border>
    <border>
      <left/>
      <right/>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518">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Border="1" applyAlignment="1">
      <alignment vertical="top" wrapText="1"/>
    </xf>
    <xf numFmtId="0" fontId="9" fillId="0" borderId="0" xfId="0" applyFont="1" applyAlignment="1">
      <alignment/>
    </xf>
    <xf numFmtId="0" fontId="13" fillId="0" borderId="0" xfId="0" applyFont="1" applyAlignment="1">
      <alignment/>
    </xf>
    <xf numFmtId="0" fontId="14" fillId="0" borderId="10" xfId="0" applyFont="1" applyBorder="1" applyAlignment="1">
      <alignment horizontal="center"/>
    </xf>
    <xf numFmtId="0" fontId="9" fillId="0" borderId="11" xfId="0" applyFont="1" applyBorder="1" applyAlignment="1">
      <alignment wrapText="1"/>
    </xf>
    <xf numFmtId="0" fontId="9" fillId="0" borderId="12" xfId="0" applyFont="1" applyBorder="1" applyAlignment="1">
      <alignment wrapText="1"/>
    </xf>
    <xf numFmtId="0" fontId="15" fillId="0" borderId="12" xfId="53" applyFont="1" applyBorder="1" applyAlignment="1" applyProtection="1">
      <alignment wrapText="1"/>
      <protection/>
    </xf>
    <xf numFmtId="0" fontId="9" fillId="0" borderId="12" xfId="0" applyFont="1" applyBorder="1" applyAlignment="1">
      <alignment vertical="top" wrapText="1"/>
    </xf>
    <xf numFmtId="0" fontId="9" fillId="0" borderId="12" xfId="0" applyFont="1" applyBorder="1"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Border="1" applyAlignment="1">
      <alignment/>
    </xf>
    <xf numFmtId="0" fontId="3" fillId="0" borderId="0" xfId="0" applyFont="1" applyBorder="1" applyAlignment="1">
      <alignment/>
    </xf>
    <xf numFmtId="0" fontId="4" fillId="0" borderId="0" xfId="0" applyFont="1" applyBorder="1" applyAlignment="1">
      <alignment/>
    </xf>
    <xf numFmtId="0" fontId="14" fillId="0" borderId="0" xfId="0" applyFont="1" applyAlignment="1">
      <alignment/>
    </xf>
    <xf numFmtId="0" fontId="76" fillId="8" borderId="0" xfId="24" applyFont="1" applyFill="1" applyBorder="1" applyAlignment="1">
      <alignment/>
    </xf>
    <xf numFmtId="2" fontId="76" fillId="8" borderId="0" xfId="24" applyNumberFormat="1" applyFont="1" applyFill="1" applyBorder="1" applyAlignment="1">
      <alignment/>
    </xf>
    <xf numFmtId="0" fontId="77" fillId="8" borderId="0" xfId="24" applyFont="1" applyFill="1" applyBorder="1" applyAlignment="1">
      <alignment/>
    </xf>
    <xf numFmtId="0" fontId="77" fillId="8" borderId="0" xfId="24" applyFont="1" applyFill="1" applyBorder="1" applyAlignment="1">
      <alignment/>
    </xf>
    <xf numFmtId="0" fontId="3" fillId="8" borderId="0" xfId="0" applyFont="1" applyFill="1" applyBorder="1" applyAlignment="1">
      <alignment/>
    </xf>
    <xf numFmtId="1" fontId="4" fillId="8" borderId="0" xfId="0" applyNumberFormat="1" applyFont="1" applyFill="1" applyBorder="1" applyAlignment="1">
      <alignment/>
    </xf>
    <xf numFmtId="0" fontId="4" fillId="8" borderId="0" xfId="0" applyFont="1" applyFill="1" applyBorder="1" applyAlignment="1">
      <alignment/>
    </xf>
    <xf numFmtId="2" fontId="3" fillId="0" borderId="0" xfId="0" applyNumberFormat="1" applyFont="1" applyFill="1" applyAlignment="1">
      <alignment/>
    </xf>
    <xf numFmtId="0" fontId="4" fillId="0" borderId="0" xfId="0" applyFont="1" applyBorder="1" applyAlignment="1">
      <alignment vertical="top" wrapText="1"/>
    </xf>
    <xf numFmtId="166" fontId="3" fillId="0" borderId="0" xfId="0" applyNumberFormat="1" applyFont="1" applyAlignment="1">
      <alignment/>
    </xf>
    <xf numFmtId="0" fontId="14" fillId="0" borderId="0" xfId="0" applyFont="1" applyFill="1" applyAlignment="1">
      <alignment/>
    </xf>
    <xf numFmtId="0" fontId="77" fillId="3" borderId="0" xfId="23" applyFont="1" applyFill="1" applyBorder="1" applyAlignment="1">
      <alignment/>
    </xf>
    <xf numFmtId="0" fontId="76" fillId="3" borderId="0" xfId="23" applyFont="1" applyFill="1" applyBorder="1" applyAlignment="1">
      <alignment horizontal="center" vertical="top" wrapText="1"/>
    </xf>
    <xf numFmtId="0" fontId="76" fillId="3" borderId="0" xfId="23" applyFont="1" applyFill="1" applyBorder="1" applyAlignment="1">
      <alignment/>
    </xf>
    <xf numFmtId="2" fontId="76" fillId="3" borderId="0" xfId="23" applyNumberFormat="1" applyFont="1" applyFill="1" applyBorder="1" applyAlignment="1">
      <alignment horizontal="center" vertical="top" wrapText="1"/>
    </xf>
    <xf numFmtId="0" fontId="3" fillId="3" borderId="0" xfId="0" applyFont="1" applyFill="1" applyAlignment="1">
      <alignment/>
    </xf>
    <xf numFmtId="0" fontId="4" fillId="3" borderId="0" xfId="0" applyFont="1" applyFill="1" applyAlignment="1">
      <alignment/>
    </xf>
    <xf numFmtId="168" fontId="76" fillId="3" borderId="0" xfId="23" applyNumberFormat="1" applyFont="1" applyFill="1" applyBorder="1" applyAlignment="1">
      <alignment horizontal="center" vertical="top" wrapText="1"/>
    </xf>
    <xf numFmtId="1" fontId="76" fillId="3" borderId="0" xfId="23" applyNumberFormat="1" applyFont="1" applyFill="1" applyBorder="1" applyAlignment="1">
      <alignment horizontal="center" vertical="top" wrapText="1"/>
    </xf>
    <xf numFmtId="0" fontId="76" fillId="0" borderId="0" xfId="23" applyFont="1" applyFill="1" applyBorder="1" applyAlignment="1">
      <alignment horizontal="center" vertical="top" wrapText="1"/>
    </xf>
    <xf numFmtId="0" fontId="76" fillId="0" borderId="0" xfId="23" applyFont="1" applyFill="1" applyBorder="1" applyAlignment="1">
      <alignment/>
    </xf>
    <xf numFmtId="0" fontId="3" fillId="10" borderId="0" xfId="0" applyFont="1" applyFill="1" applyAlignment="1">
      <alignment/>
    </xf>
    <xf numFmtId="0" fontId="76" fillId="10" borderId="0" xfId="23" applyFont="1" applyFill="1" applyBorder="1" applyAlignment="1">
      <alignment/>
    </xf>
    <xf numFmtId="1" fontId="76" fillId="10" borderId="0" xfId="23" applyNumberFormat="1" applyFont="1" applyFill="1" applyBorder="1" applyAlignment="1" applyProtection="1">
      <alignment/>
      <protection/>
    </xf>
    <xf numFmtId="0" fontId="3" fillId="10" borderId="0" xfId="0" applyFont="1" applyFill="1" applyBorder="1" applyAlignment="1">
      <alignment/>
    </xf>
    <xf numFmtId="2" fontId="76" fillId="3" borderId="0" xfId="23" applyNumberFormat="1" applyFont="1" applyFill="1" applyBorder="1" applyAlignment="1">
      <alignment horizontal="left" vertical="top" wrapText="1"/>
    </xf>
    <xf numFmtId="2" fontId="3" fillId="3" borderId="0" xfId="0" applyNumberFormat="1" applyFont="1" applyFill="1" applyAlignment="1">
      <alignment/>
    </xf>
    <xf numFmtId="0" fontId="7" fillId="3" borderId="0" xfId="0" applyFont="1" applyFill="1" applyAlignment="1">
      <alignment/>
    </xf>
    <xf numFmtId="0" fontId="3" fillId="3" borderId="0" xfId="0" applyFont="1" applyFill="1" applyBorder="1" applyAlignment="1">
      <alignment/>
    </xf>
    <xf numFmtId="167" fontId="3" fillId="3" borderId="0" xfId="0" applyNumberFormat="1" applyFont="1" applyFill="1" applyAlignment="1">
      <alignment/>
    </xf>
    <xf numFmtId="0" fontId="4" fillId="3" borderId="0" xfId="0" applyFont="1" applyFill="1" applyAlignment="1">
      <alignment horizontal="left"/>
    </xf>
    <xf numFmtId="0" fontId="3" fillId="3" borderId="0" xfId="0" applyFont="1" applyFill="1" applyAlignment="1">
      <alignment/>
    </xf>
    <xf numFmtId="0" fontId="3" fillId="3" borderId="13" xfId="0" applyFont="1" applyFill="1" applyBorder="1" applyAlignment="1">
      <alignment/>
    </xf>
    <xf numFmtId="0" fontId="3" fillId="3" borderId="14" xfId="0" applyFont="1" applyFill="1" applyBorder="1" applyAlignment="1">
      <alignment/>
    </xf>
    <xf numFmtId="0" fontId="3" fillId="3" borderId="15" xfId="0" applyFont="1" applyFill="1" applyBorder="1" applyAlignment="1">
      <alignment/>
    </xf>
    <xf numFmtId="0" fontId="3" fillId="3" borderId="16" xfId="0" applyFont="1" applyFill="1" applyBorder="1" applyAlignment="1">
      <alignment/>
    </xf>
    <xf numFmtId="0" fontId="3" fillId="3" borderId="0" xfId="0" applyFont="1" applyFill="1" applyBorder="1" applyAlignment="1">
      <alignment/>
    </xf>
    <xf numFmtId="0" fontId="3" fillId="3" borderId="17" xfId="0" applyFont="1" applyFill="1" applyBorder="1" applyAlignment="1">
      <alignment/>
    </xf>
    <xf numFmtId="0" fontId="3" fillId="3" borderId="18" xfId="0" applyFont="1" applyFill="1" applyBorder="1" applyAlignment="1">
      <alignment/>
    </xf>
    <xf numFmtId="0" fontId="3" fillId="3" borderId="19" xfId="0" applyFont="1" applyFill="1" applyBorder="1" applyAlignment="1">
      <alignment/>
    </xf>
    <xf numFmtId="0" fontId="3" fillId="3" borderId="20" xfId="0" applyFont="1" applyFill="1" applyBorder="1" applyAlignment="1">
      <alignment/>
    </xf>
    <xf numFmtId="2" fontId="3" fillId="3" borderId="0" xfId="0" applyNumberFormat="1" applyFont="1" applyFill="1" applyBorder="1" applyAlignment="1">
      <alignment/>
    </xf>
    <xf numFmtId="0" fontId="4" fillId="3" borderId="0" xfId="0" applyFont="1" applyFill="1" applyAlignment="1">
      <alignment/>
    </xf>
    <xf numFmtId="166" fontId="3" fillId="3" borderId="0" xfId="0" applyNumberFormat="1" applyFont="1" applyFill="1" applyBorder="1" applyAlignment="1">
      <alignment/>
    </xf>
    <xf numFmtId="168" fontId="3" fillId="3" borderId="0" xfId="0" applyNumberFormat="1" applyFont="1" applyFill="1" applyAlignment="1">
      <alignment/>
    </xf>
    <xf numFmtId="0" fontId="4" fillId="3" borderId="0" xfId="0" applyFont="1" applyFill="1" applyBorder="1" applyAlignment="1">
      <alignment/>
    </xf>
    <xf numFmtId="0" fontId="9" fillId="0" borderId="0" xfId="0" applyFont="1" applyFill="1" applyAlignment="1">
      <alignment/>
    </xf>
    <xf numFmtId="0" fontId="77" fillId="33" borderId="0" xfId="23" applyFont="1" applyFill="1" applyBorder="1" applyAlignment="1">
      <alignment/>
    </xf>
    <xf numFmtId="0" fontId="77" fillId="33" borderId="0" xfId="23" applyFont="1" applyFill="1" applyBorder="1" applyAlignment="1">
      <alignment horizontal="center" vertical="top" wrapText="1"/>
    </xf>
    <xf numFmtId="0" fontId="3" fillId="33" borderId="0" xfId="0" applyFont="1" applyFill="1" applyAlignment="1">
      <alignment/>
    </xf>
    <xf numFmtId="0" fontId="3" fillId="33" borderId="0" xfId="0" applyFont="1" applyFill="1" applyBorder="1" applyAlignment="1">
      <alignment/>
    </xf>
    <xf numFmtId="165" fontId="3" fillId="33" borderId="0" xfId="0" applyNumberFormat="1" applyFont="1" applyFill="1" applyAlignment="1">
      <alignment/>
    </xf>
    <xf numFmtId="164" fontId="3" fillId="33" borderId="0" xfId="0" applyNumberFormat="1" applyFont="1" applyFill="1" applyAlignment="1">
      <alignment/>
    </xf>
    <xf numFmtId="166" fontId="3" fillId="33" borderId="0" xfId="0" applyNumberFormat="1" applyFont="1" applyFill="1" applyAlignment="1">
      <alignment/>
    </xf>
    <xf numFmtId="167" fontId="3" fillId="33" borderId="0" xfId="0" applyNumberFormat="1" applyFont="1" applyFill="1" applyAlignment="1">
      <alignment/>
    </xf>
    <xf numFmtId="2" fontId="3" fillId="33" borderId="0" xfId="0" applyNumberFormat="1" applyFont="1" applyFill="1" applyAlignment="1">
      <alignment/>
    </xf>
    <xf numFmtId="0" fontId="78" fillId="0" borderId="0" xfId="0" applyFont="1" applyFill="1" applyAlignment="1">
      <alignment/>
    </xf>
    <xf numFmtId="0" fontId="4" fillId="33" borderId="0" xfId="0" applyFont="1" applyFill="1" applyAlignment="1">
      <alignment/>
    </xf>
    <xf numFmtId="0" fontId="3" fillId="33" borderId="16" xfId="0" applyFont="1" applyFill="1" applyBorder="1" applyAlignment="1">
      <alignment/>
    </xf>
    <xf numFmtId="0" fontId="3" fillId="33" borderId="17" xfId="0" applyFont="1" applyFill="1" applyBorder="1" applyAlignment="1">
      <alignment/>
    </xf>
    <xf numFmtId="0" fontId="3" fillId="33" borderId="21" xfId="0" applyFont="1" applyFill="1" applyBorder="1" applyAlignment="1">
      <alignment/>
    </xf>
    <xf numFmtId="169" fontId="3" fillId="33" borderId="0" xfId="0" applyNumberFormat="1" applyFont="1" applyFill="1" applyBorder="1" applyAlignment="1">
      <alignment/>
    </xf>
    <xf numFmtId="0" fontId="4" fillId="33" borderId="0" xfId="0" applyFont="1" applyFill="1" applyBorder="1" applyAlignment="1">
      <alignment/>
    </xf>
    <xf numFmtId="164" fontId="3" fillId="33" borderId="0" xfId="0" applyNumberFormat="1" applyFont="1" applyFill="1" applyBorder="1" applyAlignment="1">
      <alignment/>
    </xf>
    <xf numFmtId="0" fontId="3" fillId="33" borderId="22" xfId="0" applyFont="1" applyFill="1" applyBorder="1" applyAlignment="1">
      <alignment/>
    </xf>
    <xf numFmtId="0" fontId="3" fillId="33" borderId="0" xfId="0" applyFont="1" applyFill="1" applyAlignment="1">
      <alignment horizontal="right"/>
    </xf>
    <xf numFmtId="166" fontId="3" fillId="33" borderId="0" xfId="0" applyNumberFormat="1" applyFont="1" applyFill="1" applyBorder="1" applyAlignment="1">
      <alignment/>
    </xf>
    <xf numFmtId="0" fontId="3" fillId="7" borderId="0" xfId="0" applyFont="1" applyFill="1" applyAlignment="1">
      <alignment/>
    </xf>
    <xf numFmtId="0" fontId="4" fillId="7" borderId="0" xfId="0" applyFont="1" applyFill="1" applyAlignment="1">
      <alignment/>
    </xf>
    <xf numFmtId="0" fontId="3" fillId="7" borderId="0" xfId="0" applyFont="1" applyFill="1" applyBorder="1" applyAlignment="1">
      <alignment/>
    </xf>
    <xf numFmtId="2" fontId="3" fillId="7" borderId="0" xfId="0" applyNumberFormat="1" applyFont="1" applyFill="1" applyAlignment="1">
      <alignment/>
    </xf>
    <xf numFmtId="0" fontId="3" fillId="7" borderId="0" xfId="0" applyFont="1" applyFill="1" applyBorder="1" applyAlignment="1">
      <alignment horizontal="right"/>
    </xf>
    <xf numFmtId="166" fontId="3" fillId="7" borderId="0" xfId="0" applyNumberFormat="1" applyFont="1" applyFill="1" applyAlignment="1">
      <alignment/>
    </xf>
    <xf numFmtId="166" fontId="4" fillId="7" borderId="0" xfId="0" applyNumberFormat="1" applyFont="1" applyFill="1" applyAlignment="1">
      <alignment/>
    </xf>
    <xf numFmtId="166" fontId="3" fillId="7" borderId="0" xfId="0" applyNumberFormat="1" applyFont="1" applyFill="1" applyBorder="1" applyAlignment="1">
      <alignment/>
    </xf>
    <xf numFmtId="0" fontId="4" fillId="7" borderId="0" xfId="0" applyFont="1" applyFill="1" applyBorder="1" applyAlignment="1">
      <alignment vertical="top" wrapText="1"/>
    </xf>
    <xf numFmtId="0" fontId="3" fillId="7" borderId="0" xfId="0" applyFont="1" applyFill="1" applyBorder="1" applyAlignment="1">
      <alignment horizontal="right" vertical="top" wrapText="1"/>
    </xf>
    <xf numFmtId="0" fontId="3" fillId="7" borderId="0" xfId="0" applyFont="1" applyFill="1" applyBorder="1" applyAlignment="1">
      <alignment vertical="top" wrapText="1"/>
    </xf>
    <xf numFmtId="167" fontId="3" fillId="33" borderId="0" xfId="0" applyNumberFormat="1" applyFont="1" applyFill="1" applyBorder="1" applyAlignment="1">
      <alignment/>
    </xf>
    <xf numFmtId="0" fontId="3" fillId="8" borderId="0" xfId="0" applyFont="1" applyFill="1" applyAlignment="1">
      <alignment/>
    </xf>
    <xf numFmtId="1" fontId="3" fillId="8" borderId="0" xfId="0" applyNumberFormat="1" applyFont="1" applyFill="1" applyAlignment="1">
      <alignment/>
    </xf>
    <xf numFmtId="168" fontId="76" fillId="8" borderId="0" xfId="24" applyNumberFormat="1" applyFont="1" applyFill="1" applyBorder="1" applyAlignment="1">
      <alignment/>
    </xf>
    <xf numFmtId="0" fontId="76" fillId="8" borderId="0" xfId="24" applyFont="1" applyFill="1" applyBorder="1" applyAlignment="1">
      <alignment horizontal="center" vertical="top" wrapText="1"/>
    </xf>
    <xf numFmtId="166" fontId="3" fillId="8" borderId="0" xfId="0" applyNumberFormat="1" applyFont="1" applyFill="1" applyBorder="1" applyAlignment="1">
      <alignment/>
    </xf>
    <xf numFmtId="166" fontId="3" fillId="8" borderId="0" xfId="0" applyNumberFormat="1" applyFont="1" applyFill="1" applyAlignment="1">
      <alignment/>
    </xf>
    <xf numFmtId="0" fontId="79" fillId="8" borderId="0" xfId="0" applyFont="1" applyFill="1" applyAlignment="1">
      <alignment/>
    </xf>
    <xf numFmtId="0" fontId="3" fillId="34" borderId="0" xfId="0" applyFont="1" applyFill="1" applyAlignment="1">
      <alignment/>
    </xf>
    <xf numFmtId="0" fontId="4" fillId="34" borderId="0" xfId="0" applyFont="1" applyFill="1" applyBorder="1" applyAlignment="1">
      <alignment/>
    </xf>
    <xf numFmtId="0" fontId="76" fillId="0" borderId="0" xfId="24" applyFont="1" applyFill="1" applyBorder="1" applyAlignment="1">
      <alignment/>
    </xf>
    <xf numFmtId="167" fontId="76" fillId="0" borderId="0" xfId="24" applyNumberFormat="1" applyFont="1" applyFill="1" applyBorder="1" applyAlignment="1">
      <alignment/>
    </xf>
    <xf numFmtId="166" fontId="76" fillId="0" borderId="0" xfId="24" applyNumberFormat="1" applyFont="1" applyFill="1" applyBorder="1" applyAlignment="1">
      <alignment/>
    </xf>
    <xf numFmtId="0" fontId="14" fillId="0" borderId="0" xfId="0" applyFont="1" applyFill="1" applyBorder="1" applyAlignment="1">
      <alignment/>
    </xf>
    <xf numFmtId="0" fontId="9" fillId="0" borderId="0" xfId="0" applyFont="1" applyFill="1" applyBorder="1" applyAlignment="1">
      <alignment/>
    </xf>
    <xf numFmtId="1" fontId="3" fillId="0" borderId="0" xfId="0" applyNumberFormat="1" applyFont="1" applyFill="1" applyBorder="1" applyAlignment="1">
      <alignment/>
    </xf>
    <xf numFmtId="164" fontId="3" fillId="0" borderId="0" xfId="0" applyNumberFormat="1" applyFont="1" applyFill="1" applyBorder="1" applyAlignment="1">
      <alignment/>
    </xf>
    <xf numFmtId="0" fontId="4" fillId="0" borderId="0" xfId="0" applyFont="1" applyFill="1" applyBorder="1" applyAlignment="1">
      <alignment/>
    </xf>
    <xf numFmtId="172" fontId="4" fillId="0" borderId="0" xfId="42" applyNumberFormat="1" applyFont="1" applyFill="1" applyBorder="1" applyAlignment="1">
      <alignment/>
    </xf>
    <xf numFmtId="171" fontId="4" fillId="0" borderId="0" xfId="0" applyNumberFormat="1" applyFont="1" applyFill="1" applyBorder="1" applyAlignment="1">
      <alignment/>
    </xf>
    <xf numFmtId="43" fontId="3" fillId="0" borderId="0" xfId="0" applyNumberFormat="1" applyFont="1" applyFill="1" applyAlignment="1">
      <alignment/>
    </xf>
    <xf numFmtId="44" fontId="3" fillId="0" borderId="0" xfId="44" applyFont="1" applyFill="1" applyAlignment="1">
      <alignment/>
    </xf>
    <xf numFmtId="170" fontId="3" fillId="0" borderId="0" xfId="42" applyNumberFormat="1" applyFont="1" applyFill="1" applyAlignment="1">
      <alignment/>
    </xf>
    <xf numFmtId="1" fontId="3" fillId="0" borderId="0" xfId="0" applyNumberFormat="1" applyFont="1" applyAlignment="1">
      <alignment/>
    </xf>
    <xf numFmtId="0" fontId="4" fillId="2" borderId="18" xfId="0" applyFont="1" applyFill="1" applyBorder="1" applyAlignment="1">
      <alignment/>
    </xf>
    <xf numFmtId="0" fontId="4" fillId="2" borderId="19" xfId="0" applyFont="1" applyFill="1" applyBorder="1" applyAlignment="1">
      <alignment vertical="top" wrapText="1"/>
    </xf>
    <xf numFmtId="0" fontId="4" fillId="2" borderId="19"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3" fillId="2" borderId="18" xfId="0" applyFont="1" applyFill="1" applyBorder="1" applyAlignment="1">
      <alignment/>
    </xf>
    <xf numFmtId="0" fontId="3" fillId="2" borderId="19" xfId="0" applyFont="1" applyFill="1" applyBorder="1" applyAlignment="1">
      <alignment horizontal="left"/>
    </xf>
    <xf numFmtId="0" fontId="3" fillId="2" borderId="20" xfId="0" applyFont="1" applyFill="1" applyBorder="1" applyAlignment="1">
      <alignment/>
    </xf>
    <xf numFmtId="0" fontId="3" fillId="2" borderId="18" xfId="0" applyFont="1" applyFill="1" applyBorder="1" applyAlignment="1">
      <alignment horizontal="left"/>
    </xf>
    <xf numFmtId="0" fontId="3" fillId="2" borderId="19" xfId="0" applyFont="1" applyFill="1" applyBorder="1" applyAlignment="1">
      <alignment/>
    </xf>
    <xf numFmtId="0" fontId="3" fillId="2" borderId="16" xfId="0" applyFont="1" applyFill="1" applyBorder="1" applyAlignment="1">
      <alignment/>
    </xf>
    <xf numFmtId="1" fontId="3" fillId="2" borderId="0" xfId="0" applyNumberFormat="1" applyFont="1" applyFill="1" applyBorder="1" applyAlignment="1">
      <alignment horizontal="center"/>
    </xf>
    <xf numFmtId="1" fontId="3" fillId="2" borderId="0" xfId="0" applyNumberFormat="1" applyFont="1" applyFill="1" applyBorder="1" applyAlignment="1">
      <alignment/>
    </xf>
    <xf numFmtId="0" fontId="3" fillId="2" borderId="17" xfId="0" applyFont="1" applyFill="1" applyBorder="1" applyAlignment="1">
      <alignment/>
    </xf>
    <xf numFmtId="167" fontId="3" fillId="2" borderId="16" xfId="0" applyNumberFormat="1" applyFont="1" applyFill="1" applyBorder="1" applyAlignment="1">
      <alignment/>
    </xf>
    <xf numFmtId="167" fontId="3" fillId="2" borderId="0" xfId="0" applyNumberFormat="1" applyFont="1" applyFill="1" applyBorder="1" applyAlignment="1" applyProtection="1">
      <alignment/>
      <protection locked="0"/>
    </xf>
    <xf numFmtId="0" fontId="3" fillId="2" borderId="0" xfId="0" applyFont="1" applyFill="1" applyBorder="1" applyAlignment="1" applyProtection="1">
      <alignment/>
      <protection locked="0"/>
    </xf>
    <xf numFmtId="168" fontId="3" fillId="2" borderId="0" xfId="0" applyNumberFormat="1" applyFont="1" applyFill="1" applyBorder="1" applyAlignment="1" applyProtection="1">
      <alignment/>
      <protection locked="0"/>
    </xf>
    <xf numFmtId="168" fontId="3" fillId="2" borderId="17" xfId="0" applyNumberFormat="1" applyFont="1" applyFill="1" applyBorder="1" applyAlignment="1" applyProtection="1">
      <alignment/>
      <protection locked="0"/>
    </xf>
    <xf numFmtId="1" fontId="3" fillId="2" borderId="0" xfId="0" applyNumberFormat="1" applyFont="1" applyFill="1" applyBorder="1" applyAlignment="1" applyProtection="1">
      <alignment/>
      <protection locked="0"/>
    </xf>
    <xf numFmtId="0" fontId="3" fillId="2" borderId="23" xfId="0" applyFont="1" applyFill="1" applyBorder="1" applyAlignment="1">
      <alignment/>
    </xf>
    <xf numFmtId="1" fontId="3" fillId="2" borderId="22" xfId="0" applyNumberFormat="1" applyFont="1" applyFill="1" applyBorder="1" applyAlignment="1">
      <alignment horizontal="center"/>
    </xf>
    <xf numFmtId="1" fontId="3" fillId="2" borderId="22" xfId="0" applyNumberFormat="1" applyFont="1" applyFill="1" applyBorder="1" applyAlignment="1">
      <alignment/>
    </xf>
    <xf numFmtId="0" fontId="3" fillId="2" borderId="21" xfId="0" applyFont="1" applyFill="1" applyBorder="1" applyAlignment="1">
      <alignment/>
    </xf>
    <xf numFmtId="167" fontId="3" fillId="2" borderId="23" xfId="0" applyNumberFormat="1" applyFont="1" applyFill="1" applyBorder="1" applyAlignment="1">
      <alignment/>
    </xf>
    <xf numFmtId="167" fontId="3" fillId="2" borderId="22" xfId="0" applyNumberFormat="1" applyFont="1" applyFill="1" applyBorder="1" applyAlignment="1" applyProtection="1">
      <alignment/>
      <protection locked="0"/>
    </xf>
    <xf numFmtId="0" fontId="3" fillId="2" borderId="22" xfId="0" applyFont="1" applyFill="1" applyBorder="1" applyAlignment="1" applyProtection="1">
      <alignment/>
      <protection locked="0"/>
    </xf>
    <xf numFmtId="168" fontId="3" fillId="2" borderId="22" xfId="0" applyNumberFormat="1" applyFont="1" applyFill="1" applyBorder="1" applyAlignment="1" applyProtection="1">
      <alignment/>
      <protection locked="0"/>
    </xf>
    <xf numFmtId="168" fontId="3" fillId="2" borderId="21" xfId="0" applyNumberFormat="1" applyFont="1" applyFill="1" applyBorder="1" applyAlignment="1" applyProtection="1">
      <alignment/>
      <protection locked="0"/>
    </xf>
    <xf numFmtId="1" fontId="3" fillId="2" borderId="22" xfId="0" applyNumberFormat="1" applyFont="1" applyFill="1" applyBorder="1" applyAlignment="1" applyProtection="1">
      <alignment/>
      <protection locked="0"/>
    </xf>
    <xf numFmtId="0" fontId="3" fillId="8" borderId="17" xfId="0" applyFont="1" applyFill="1" applyBorder="1" applyAlignment="1">
      <alignment/>
    </xf>
    <xf numFmtId="0" fontId="3" fillId="8" borderId="21" xfId="0" applyFont="1" applyFill="1" applyBorder="1" applyAlignment="1">
      <alignment/>
    </xf>
    <xf numFmtId="0" fontId="3" fillId="16" borderId="0" xfId="0" applyFont="1" applyFill="1" applyAlignment="1">
      <alignment/>
    </xf>
    <xf numFmtId="0" fontId="3" fillId="11" borderId="0" xfId="0" applyFont="1" applyFill="1" applyAlignment="1">
      <alignment/>
    </xf>
    <xf numFmtId="0" fontId="76" fillId="8" borderId="0" xfId="24" applyFont="1" applyFill="1" applyBorder="1" applyAlignment="1">
      <alignment horizontal="right" vertical="top" wrapText="1"/>
    </xf>
    <xf numFmtId="0" fontId="76" fillId="8" borderId="0" xfId="24" applyFont="1" applyFill="1" applyBorder="1" applyAlignment="1">
      <alignment horizontal="right"/>
    </xf>
    <xf numFmtId="0" fontId="3" fillId="8" borderId="0" xfId="0" applyFont="1" applyFill="1" applyAlignment="1">
      <alignment horizontal="center"/>
    </xf>
    <xf numFmtId="0" fontId="76" fillId="8" borderId="0" xfId="24" applyFont="1" applyFill="1" applyBorder="1" applyAlignment="1">
      <alignment horizontal="center"/>
    </xf>
    <xf numFmtId="0" fontId="76" fillId="8" borderId="0" xfId="24" applyFont="1" applyFill="1" applyBorder="1" applyAlignment="1" applyProtection="1">
      <alignment horizontal="center"/>
      <protection/>
    </xf>
    <xf numFmtId="0" fontId="77" fillId="8" borderId="0" xfId="24" applyFont="1" applyFill="1" applyBorder="1" applyAlignment="1">
      <alignment horizontal="left"/>
    </xf>
    <xf numFmtId="0" fontId="77" fillId="8" borderId="0" xfId="24" applyFont="1" applyFill="1" applyBorder="1" applyAlignment="1" applyProtection="1">
      <alignment horizontal="left"/>
      <protection/>
    </xf>
    <xf numFmtId="0" fontId="3" fillId="8" borderId="0" xfId="0" applyFont="1" applyFill="1" applyAlignment="1">
      <alignment horizontal="left"/>
    </xf>
    <xf numFmtId="0" fontId="76" fillId="8" borderId="0" xfId="24" applyFont="1" applyFill="1" applyBorder="1" applyAlignment="1">
      <alignment horizontal="left"/>
    </xf>
    <xf numFmtId="0" fontId="3" fillId="0" borderId="0" xfId="0" applyFont="1" applyFill="1" applyAlignment="1">
      <alignment horizontal="right"/>
    </xf>
    <xf numFmtId="0" fontId="3" fillId="9" borderId="0" xfId="0" applyFont="1" applyFill="1" applyAlignment="1">
      <alignment/>
    </xf>
    <xf numFmtId="0" fontId="77" fillId="10" borderId="0" xfId="23" applyFont="1" applyFill="1" applyBorder="1" applyAlignment="1">
      <alignment/>
    </xf>
    <xf numFmtId="0" fontId="77" fillId="10" borderId="0" xfId="23" applyFont="1" applyFill="1" applyBorder="1" applyAlignment="1">
      <alignment horizontal="center" vertical="top" wrapText="1"/>
    </xf>
    <xf numFmtId="0" fontId="3" fillId="1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76" fillId="0" borderId="0" xfId="24" applyFont="1" applyFill="1" applyBorder="1" applyAlignment="1" applyProtection="1">
      <alignment horizontal="left"/>
      <protection/>
    </xf>
    <xf numFmtId="167" fontId="76" fillId="0" borderId="0" xfId="23" applyNumberFormat="1" applyFont="1" applyFill="1" applyBorder="1" applyAlignment="1">
      <alignment/>
    </xf>
    <xf numFmtId="0" fontId="76" fillId="0" borderId="0" xfId="23" applyFont="1" applyFill="1" applyBorder="1" applyAlignment="1" applyProtection="1">
      <alignment/>
      <protection/>
    </xf>
    <xf numFmtId="0" fontId="3" fillId="0" borderId="0" xfId="0" applyFont="1" applyFill="1" applyBorder="1" applyAlignment="1">
      <alignment horizontal="left"/>
    </xf>
    <xf numFmtId="0" fontId="4" fillId="0" borderId="0" xfId="0" applyFont="1" applyFill="1" applyBorder="1" applyAlignment="1">
      <alignment horizontal="justify" vertical="top" wrapText="1"/>
    </xf>
    <xf numFmtId="0" fontId="3" fillId="0" borderId="0" xfId="0" applyFont="1" applyFill="1" applyBorder="1" applyAlignment="1">
      <alignment vertical="top" wrapText="1"/>
    </xf>
    <xf numFmtId="166" fontId="76" fillId="0" borderId="0" xfId="23" applyNumberFormat="1" applyFont="1" applyFill="1" applyBorder="1" applyAlignment="1">
      <alignment/>
    </xf>
    <xf numFmtId="167" fontId="76" fillId="10" borderId="0" xfId="23" applyNumberFormat="1" applyFont="1" applyFill="1" applyBorder="1" applyAlignment="1">
      <alignment/>
    </xf>
    <xf numFmtId="166" fontId="76" fillId="10" borderId="0" xfId="23" applyNumberFormat="1" applyFont="1" applyFill="1" applyBorder="1" applyAlignment="1">
      <alignment/>
    </xf>
    <xf numFmtId="0" fontId="3" fillId="3" borderId="0" xfId="0" applyFont="1" applyFill="1" applyAlignment="1">
      <alignment horizontal="right"/>
    </xf>
    <xf numFmtId="169" fontId="3" fillId="0" borderId="0" xfId="0" applyNumberFormat="1" applyFont="1" applyFill="1" applyAlignment="1">
      <alignment/>
    </xf>
    <xf numFmtId="165" fontId="3" fillId="0" borderId="0" xfId="0" applyNumberFormat="1" applyFont="1" applyFill="1" applyAlignment="1">
      <alignment/>
    </xf>
    <xf numFmtId="164" fontId="3" fillId="0" borderId="0" xfId="0" applyNumberFormat="1" applyFont="1" applyFill="1" applyAlignment="1">
      <alignment/>
    </xf>
    <xf numFmtId="166" fontId="3" fillId="0" borderId="0" xfId="0" applyNumberFormat="1" applyFont="1" applyFill="1" applyAlignment="1">
      <alignment/>
    </xf>
    <xf numFmtId="166" fontId="3" fillId="0" borderId="0" xfId="0" applyNumberFormat="1" applyFont="1" applyFill="1" applyBorder="1" applyAlignment="1">
      <alignment/>
    </xf>
    <xf numFmtId="0" fontId="4" fillId="3" borderId="0" xfId="23" applyFont="1" applyFill="1" applyBorder="1" applyAlignment="1">
      <alignment/>
    </xf>
    <xf numFmtId="0" fontId="4" fillId="11" borderId="0" xfId="0" applyFont="1" applyFill="1" applyBorder="1" applyAlignment="1">
      <alignment/>
    </xf>
    <xf numFmtId="0" fontId="3" fillId="0" borderId="0" xfId="0" applyFont="1" applyAlignment="1">
      <alignment horizontal="center"/>
    </xf>
    <xf numFmtId="0" fontId="3" fillId="2" borderId="20" xfId="0" applyFont="1" applyFill="1" applyBorder="1" applyAlignment="1">
      <alignment horizontal="center"/>
    </xf>
    <xf numFmtId="168" fontId="3" fillId="2" borderId="17" xfId="0" applyNumberFormat="1" applyFont="1" applyFill="1" applyBorder="1" applyAlignment="1" applyProtection="1">
      <alignment horizontal="center"/>
      <protection locked="0"/>
    </xf>
    <xf numFmtId="168" fontId="3" fillId="2" borderId="21" xfId="0" applyNumberFormat="1" applyFont="1" applyFill="1" applyBorder="1" applyAlignment="1" applyProtection="1">
      <alignment horizontal="center"/>
      <protection locked="0"/>
    </xf>
    <xf numFmtId="0" fontId="3" fillId="0" borderId="0" xfId="0" applyFont="1" applyBorder="1" applyAlignment="1">
      <alignment horizontal="center"/>
    </xf>
    <xf numFmtId="0" fontId="76" fillId="0" borderId="0" xfId="23"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Alignment="1">
      <alignment horizontal="center"/>
    </xf>
    <xf numFmtId="0" fontId="3" fillId="10" borderId="16" xfId="0" applyFont="1" applyFill="1" applyBorder="1" applyAlignment="1">
      <alignment/>
    </xf>
    <xf numFmtId="0" fontId="3" fillId="10" borderId="17" xfId="0" applyFont="1" applyFill="1" applyBorder="1" applyAlignment="1">
      <alignment/>
    </xf>
    <xf numFmtId="0" fontId="3" fillId="10" borderId="23" xfId="0" applyFont="1" applyFill="1" applyBorder="1" applyAlignment="1">
      <alignment/>
    </xf>
    <xf numFmtId="0" fontId="3" fillId="10" borderId="21" xfId="0" applyFont="1" applyFill="1" applyBorder="1" applyAlignment="1">
      <alignment/>
    </xf>
    <xf numFmtId="0" fontId="4" fillId="10" borderId="18" xfId="0" applyFont="1" applyFill="1" applyBorder="1" applyAlignment="1">
      <alignment/>
    </xf>
    <xf numFmtId="0" fontId="4" fillId="10" borderId="20" xfId="0" applyFont="1" applyFill="1" applyBorder="1" applyAlignment="1">
      <alignment/>
    </xf>
    <xf numFmtId="0" fontId="77" fillId="10" borderId="10" xfId="23" applyFont="1" applyFill="1" applyBorder="1" applyAlignment="1">
      <alignment/>
    </xf>
    <xf numFmtId="0" fontId="77" fillId="0" borderId="0" xfId="23" applyFont="1" applyFill="1" applyBorder="1" applyAlignment="1">
      <alignment horizontal="center" vertical="top" wrapText="1"/>
    </xf>
    <xf numFmtId="0" fontId="77" fillId="0" borderId="0" xfId="23" applyFont="1" applyFill="1" applyBorder="1" applyAlignment="1">
      <alignment horizontal="center"/>
    </xf>
    <xf numFmtId="0" fontId="3" fillId="33" borderId="0" xfId="0" applyFont="1" applyFill="1" applyBorder="1" applyAlignment="1">
      <alignment horizontal="center"/>
    </xf>
    <xf numFmtId="0" fontId="4" fillId="16" borderId="0" xfId="0" applyFont="1" applyFill="1" applyAlignment="1">
      <alignment horizontal="center"/>
    </xf>
    <xf numFmtId="0" fontId="76" fillId="16" borderId="0" xfId="23" applyFont="1" applyFill="1" applyBorder="1" applyAlignment="1">
      <alignment horizontal="center"/>
    </xf>
    <xf numFmtId="0" fontId="3" fillId="16" borderId="0" xfId="0" applyFont="1" applyFill="1" applyAlignment="1">
      <alignment horizontal="center"/>
    </xf>
    <xf numFmtId="0" fontId="3" fillId="16" borderId="0" xfId="0" applyFont="1" applyFill="1" applyBorder="1" applyAlignment="1">
      <alignment/>
    </xf>
    <xf numFmtId="0" fontId="76" fillId="16" borderId="0" xfId="23" applyFont="1" applyFill="1" applyBorder="1" applyAlignment="1">
      <alignment/>
    </xf>
    <xf numFmtId="0" fontId="3" fillId="16" borderId="0" xfId="0" applyFont="1" applyFill="1" applyBorder="1" applyAlignment="1">
      <alignment horizontal="center"/>
    </xf>
    <xf numFmtId="0" fontId="4" fillId="34" borderId="0" xfId="0" applyFont="1" applyFill="1" applyAlignment="1">
      <alignment horizontal="center"/>
    </xf>
    <xf numFmtId="0" fontId="3" fillId="34" borderId="0" xfId="0" applyFont="1" applyFill="1" applyAlignment="1">
      <alignment horizontal="center"/>
    </xf>
    <xf numFmtId="0" fontId="4" fillId="14" borderId="0" xfId="0" applyFont="1" applyFill="1" applyAlignment="1">
      <alignment horizontal="center"/>
    </xf>
    <xf numFmtId="0" fontId="3" fillId="14" borderId="0" xfId="0" applyFont="1" applyFill="1" applyAlignment="1">
      <alignment horizontal="center"/>
    </xf>
    <xf numFmtId="0" fontId="77" fillId="8" borderId="24" xfId="24" applyFont="1" applyFill="1" applyBorder="1" applyAlignment="1">
      <alignment/>
    </xf>
    <xf numFmtId="0" fontId="77" fillId="8" borderId="24" xfId="24" applyFont="1" applyFill="1" applyBorder="1" applyAlignment="1">
      <alignment horizontal="center" vertical="top" wrapText="1"/>
    </xf>
    <xf numFmtId="0" fontId="4" fillId="11" borderId="24" xfId="0" applyFont="1" applyFill="1" applyBorder="1" applyAlignment="1">
      <alignment/>
    </xf>
    <xf numFmtId="0" fontId="3" fillId="11" borderId="24" xfId="0" applyFont="1" applyFill="1" applyBorder="1" applyAlignment="1">
      <alignment/>
    </xf>
    <xf numFmtId="0" fontId="4" fillId="14" borderId="24" xfId="0" applyFont="1" applyFill="1" applyBorder="1" applyAlignment="1">
      <alignment horizontal="center"/>
    </xf>
    <xf numFmtId="1" fontId="4" fillId="8" borderId="13" xfId="0" applyNumberFormat="1" applyFont="1" applyFill="1" applyBorder="1" applyAlignment="1">
      <alignment/>
    </xf>
    <xf numFmtId="0" fontId="3" fillId="8" borderId="15" xfId="0" applyFont="1" applyFill="1" applyBorder="1" applyAlignment="1">
      <alignment/>
    </xf>
    <xf numFmtId="0" fontId="77" fillId="8" borderId="15" xfId="24" applyFont="1" applyFill="1" applyBorder="1" applyAlignment="1">
      <alignment/>
    </xf>
    <xf numFmtId="1" fontId="3" fillId="8" borderId="16" xfId="42" applyNumberFormat="1" applyFont="1" applyFill="1" applyBorder="1" applyAlignment="1">
      <alignment/>
    </xf>
    <xf numFmtId="167" fontId="76" fillId="8" borderId="17" xfId="24" applyNumberFormat="1" applyFont="1" applyFill="1" applyBorder="1" applyAlignment="1">
      <alignment/>
    </xf>
    <xf numFmtId="0" fontId="76" fillId="8" borderId="17" xfId="24" applyFont="1" applyFill="1" applyBorder="1" applyAlignment="1">
      <alignment/>
    </xf>
    <xf numFmtId="168" fontId="3" fillId="8" borderId="23" xfId="0" applyNumberFormat="1" applyFont="1" applyFill="1" applyBorder="1" applyAlignment="1">
      <alignment/>
    </xf>
    <xf numFmtId="0" fontId="77" fillId="10" borderId="24" xfId="23" applyFont="1" applyFill="1" applyBorder="1" applyAlignment="1">
      <alignment/>
    </xf>
    <xf numFmtId="0" fontId="4" fillId="16" borderId="24" xfId="0" applyFont="1" applyFill="1" applyBorder="1" applyAlignment="1">
      <alignment horizontal="center"/>
    </xf>
    <xf numFmtId="0" fontId="77" fillId="10" borderId="25" xfId="23" applyFont="1" applyFill="1" applyBorder="1" applyAlignment="1">
      <alignment/>
    </xf>
    <xf numFmtId="0" fontId="76" fillId="10" borderId="25" xfId="23" applyFont="1" applyFill="1" applyBorder="1" applyAlignment="1">
      <alignment/>
    </xf>
    <xf numFmtId="0" fontId="3" fillId="10" borderId="25" xfId="0" applyFont="1" applyFill="1" applyBorder="1" applyAlignment="1">
      <alignment/>
    </xf>
    <xf numFmtId="0" fontId="3" fillId="16" borderId="25" xfId="0" applyFont="1" applyFill="1" applyBorder="1" applyAlignment="1">
      <alignment horizontal="center"/>
    </xf>
    <xf numFmtId="0" fontId="3" fillId="8" borderId="0" xfId="0" applyFont="1" applyFill="1" applyBorder="1" applyAlignment="1">
      <alignment horizontal="left"/>
    </xf>
    <xf numFmtId="0" fontId="3" fillId="8" borderId="0" xfId="0" applyFont="1" applyFill="1" applyBorder="1" applyAlignment="1">
      <alignment horizontal="center"/>
    </xf>
    <xf numFmtId="0" fontId="3" fillId="8" borderId="25" xfId="0" applyFont="1" applyFill="1" applyBorder="1" applyAlignment="1">
      <alignment horizontal="left"/>
    </xf>
    <xf numFmtId="0" fontId="3" fillId="8" borderId="25" xfId="0" applyFont="1" applyFill="1" applyBorder="1" applyAlignment="1">
      <alignment horizontal="center"/>
    </xf>
    <xf numFmtId="0" fontId="76" fillId="8" borderId="25" xfId="24" applyFont="1" applyFill="1" applyBorder="1" applyAlignment="1" applyProtection="1">
      <alignment horizontal="center"/>
      <protection/>
    </xf>
    <xf numFmtId="0" fontId="4" fillId="8" borderId="25" xfId="0" applyFont="1" applyFill="1" applyBorder="1" applyAlignment="1">
      <alignment/>
    </xf>
    <xf numFmtId="1" fontId="3" fillId="8" borderId="25" xfId="0" applyNumberFormat="1" applyFont="1" applyFill="1" applyBorder="1" applyAlignment="1">
      <alignment/>
    </xf>
    <xf numFmtId="166" fontId="3" fillId="8" borderId="25" xfId="0" applyNumberFormat="1" applyFont="1" applyFill="1" applyBorder="1" applyAlignment="1">
      <alignment/>
    </xf>
    <xf numFmtId="0" fontId="3" fillId="8" borderId="25" xfId="0" applyFont="1" applyFill="1" applyBorder="1" applyAlignment="1">
      <alignment/>
    </xf>
    <xf numFmtId="0" fontId="3" fillId="14" borderId="25" xfId="0" applyFont="1" applyFill="1" applyBorder="1" applyAlignment="1">
      <alignment horizontal="center"/>
    </xf>
    <xf numFmtId="167" fontId="3" fillId="10" borderId="25" xfId="0" applyNumberFormat="1" applyFont="1" applyFill="1" applyBorder="1" applyAlignment="1">
      <alignment/>
    </xf>
    <xf numFmtId="0" fontId="77" fillId="10" borderId="20" xfId="23" applyFont="1" applyFill="1" applyBorder="1" applyAlignment="1">
      <alignment horizontal="center"/>
    </xf>
    <xf numFmtId="0" fontId="4" fillId="3" borderId="25" xfId="0" applyFont="1" applyFill="1" applyBorder="1" applyAlignment="1">
      <alignment/>
    </xf>
    <xf numFmtId="0" fontId="77" fillId="3" borderId="25" xfId="23" applyFont="1" applyFill="1" applyBorder="1" applyAlignment="1">
      <alignment/>
    </xf>
    <xf numFmtId="0" fontId="4" fillId="3" borderId="24" xfId="0" applyFont="1" applyFill="1" applyBorder="1" applyAlignment="1">
      <alignment/>
    </xf>
    <xf numFmtId="0" fontId="77" fillId="3" borderId="24" xfId="23" applyFont="1" applyFill="1" applyBorder="1" applyAlignment="1">
      <alignment horizontal="center" vertical="top" wrapText="1"/>
    </xf>
    <xf numFmtId="0" fontId="77" fillId="3" borderId="24" xfId="23" applyFont="1" applyFill="1" applyBorder="1" applyAlignment="1">
      <alignment/>
    </xf>
    <xf numFmtId="0" fontId="4" fillId="9" borderId="24" xfId="0" applyFont="1" applyFill="1" applyBorder="1" applyAlignment="1">
      <alignment horizontal="center"/>
    </xf>
    <xf numFmtId="0" fontId="4" fillId="9" borderId="0" xfId="0" applyFont="1" applyFill="1" applyAlignment="1">
      <alignment horizontal="center"/>
    </xf>
    <xf numFmtId="168" fontId="3" fillId="3" borderId="0" xfId="0" applyNumberFormat="1" applyFont="1" applyFill="1" applyBorder="1" applyAlignment="1">
      <alignment/>
    </xf>
    <xf numFmtId="0" fontId="4" fillId="3" borderId="0" xfId="0" applyFont="1" applyFill="1" applyAlignment="1">
      <alignment horizontal="right"/>
    </xf>
    <xf numFmtId="169" fontId="3" fillId="3" borderId="0" xfId="0" applyNumberFormat="1" applyFont="1" applyFill="1" applyAlignment="1">
      <alignment/>
    </xf>
    <xf numFmtId="169" fontId="3" fillId="3" borderId="0" xfId="0" applyNumberFormat="1" applyFont="1" applyFill="1" applyBorder="1" applyAlignment="1">
      <alignment/>
    </xf>
    <xf numFmtId="0" fontId="3" fillId="11" borderId="0" xfId="0" applyFont="1" applyFill="1" applyBorder="1" applyAlignment="1">
      <alignment/>
    </xf>
    <xf numFmtId="0" fontId="77" fillId="33" borderId="24" xfId="23" applyFont="1" applyFill="1" applyBorder="1" applyAlignment="1">
      <alignment horizontal="center" vertical="top" wrapText="1"/>
    </xf>
    <xf numFmtId="0" fontId="4" fillId="33" borderId="25" xfId="0" applyFont="1" applyFill="1" applyBorder="1" applyAlignment="1">
      <alignment/>
    </xf>
    <xf numFmtId="0" fontId="77" fillId="33" borderId="24" xfId="23" applyFont="1" applyFill="1" applyBorder="1" applyAlignment="1">
      <alignment/>
    </xf>
    <xf numFmtId="0" fontId="4" fillId="33" borderId="24" xfId="0" applyFont="1" applyFill="1" applyBorder="1" applyAlignment="1">
      <alignment horizontal="right"/>
    </xf>
    <xf numFmtId="0" fontId="77" fillId="33" borderId="24" xfId="23" applyFont="1" applyFill="1" applyBorder="1" applyAlignment="1">
      <alignment horizontal="center" wrapText="1"/>
    </xf>
    <xf numFmtId="0" fontId="4" fillId="33" borderId="24" xfId="0" applyFont="1" applyFill="1" applyBorder="1" applyAlignment="1">
      <alignment/>
    </xf>
    <xf numFmtId="0" fontId="77" fillId="34" borderId="24" xfId="23" applyFont="1" applyFill="1" applyBorder="1" applyAlignment="1">
      <alignment horizontal="center" wrapText="1"/>
    </xf>
    <xf numFmtId="0" fontId="3" fillId="33" borderId="0" xfId="0" applyFont="1" applyFill="1" applyBorder="1" applyAlignment="1">
      <alignment horizontal="right"/>
    </xf>
    <xf numFmtId="173" fontId="3" fillId="33" borderId="0" xfId="0" applyNumberFormat="1" applyFont="1" applyFill="1" applyAlignment="1">
      <alignment/>
    </xf>
    <xf numFmtId="174" fontId="3" fillId="33" borderId="0" xfId="0" applyNumberFormat="1" applyFont="1" applyFill="1" applyAlignment="1">
      <alignment/>
    </xf>
    <xf numFmtId="2" fontId="3" fillId="33" borderId="0" xfId="0" applyNumberFormat="1" applyFont="1" applyFill="1" applyBorder="1" applyAlignment="1">
      <alignment/>
    </xf>
    <xf numFmtId="173" fontId="3" fillId="33" borderId="0" xfId="0" applyNumberFormat="1" applyFont="1" applyFill="1" applyBorder="1" applyAlignment="1">
      <alignment/>
    </xf>
    <xf numFmtId="169" fontId="3" fillId="0" borderId="0" xfId="0" applyNumberFormat="1" applyFont="1" applyFill="1" applyBorder="1" applyAlignment="1">
      <alignment/>
    </xf>
    <xf numFmtId="168" fontId="3" fillId="33" borderId="0" xfId="0" applyNumberFormat="1" applyFont="1" applyFill="1" applyBorder="1" applyAlignment="1">
      <alignment/>
    </xf>
    <xf numFmtId="168" fontId="3" fillId="33" borderId="0" xfId="0" applyNumberFormat="1" applyFont="1" applyFill="1" applyAlignment="1">
      <alignment/>
    </xf>
    <xf numFmtId="175" fontId="3" fillId="33" borderId="0" xfId="0" applyNumberFormat="1" applyFont="1" applyFill="1" applyAlignment="1">
      <alignment/>
    </xf>
    <xf numFmtId="0" fontId="4" fillId="33" borderId="14" xfId="0" applyFont="1" applyFill="1" applyBorder="1" applyAlignment="1">
      <alignment horizontal="center"/>
    </xf>
    <xf numFmtId="166" fontId="3" fillId="33" borderId="0" xfId="0" applyNumberFormat="1" applyFont="1" applyFill="1" applyBorder="1" applyAlignment="1">
      <alignment horizontal="center"/>
    </xf>
    <xf numFmtId="164" fontId="3" fillId="33" borderId="0" xfId="0" applyNumberFormat="1" applyFont="1" applyFill="1" applyBorder="1" applyAlignment="1">
      <alignment horizontal="center"/>
    </xf>
    <xf numFmtId="164" fontId="3" fillId="33" borderId="17" xfId="0" applyNumberFormat="1" applyFont="1" applyFill="1" applyBorder="1" applyAlignment="1">
      <alignment horizontal="center"/>
    </xf>
    <xf numFmtId="166"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6" fontId="3" fillId="33" borderId="0" xfId="0" applyNumberFormat="1" applyFont="1" applyFill="1" applyBorder="1" applyAlignment="1">
      <alignment/>
    </xf>
    <xf numFmtId="166" fontId="3" fillId="33" borderId="17" xfId="0" applyNumberFormat="1" applyFont="1" applyFill="1" applyBorder="1" applyAlignment="1">
      <alignment/>
    </xf>
    <xf numFmtId="166" fontId="3" fillId="33" borderId="17" xfId="0" applyNumberFormat="1" applyFont="1" applyFill="1" applyBorder="1" applyAlignment="1">
      <alignment/>
    </xf>
    <xf numFmtId="0" fontId="4" fillId="33" borderId="16" xfId="0" applyFont="1" applyFill="1" applyBorder="1" applyAlignment="1">
      <alignment/>
    </xf>
    <xf numFmtId="164" fontId="3" fillId="33" borderId="23" xfId="0" applyNumberFormat="1" applyFont="1" applyFill="1" applyBorder="1" applyAlignment="1">
      <alignment/>
    </xf>
    <xf numFmtId="0" fontId="3" fillId="0" borderId="0" xfId="0" applyFont="1" applyFill="1" applyBorder="1" applyAlignment="1">
      <alignment horizontal="right"/>
    </xf>
    <xf numFmtId="0" fontId="4" fillId="0" borderId="0" xfId="0" applyFont="1" applyFill="1" applyBorder="1" applyAlignment="1">
      <alignment horizontal="center"/>
    </xf>
    <xf numFmtId="167" fontId="3" fillId="33" borderId="0" xfId="0" applyNumberFormat="1" applyFont="1" applyFill="1" applyBorder="1" applyAlignment="1">
      <alignment/>
    </xf>
    <xf numFmtId="167" fontId="3" fillId="33" borderId="0" xfId="0" applyNumberFormat="1" applyFont="1" applyFill="1" applyAlignment="1">
      <alignment/>
    </xf>
    <xf numFmtId="167" fontId="3" fillId="33" borderId="0" xfId="0" applyNumberFormat="1" applyFont="1" applyFill="1" applyAlignment="1">
      <alignment horizontal="right"/>
    </xf>
    <xf numFmtId="168" fontId="3" fillId="33" borderId="0" xfId="0" applyNumberFormat="1" applyFont="1" applyFill="1" applyAlignment="1">
      <alignment horizontal="right"/>
    </xf>
    <xf numFmtId="0" fontId="4" fillId="34" borderId="0" xfId="0" applyFont="1" applyFill="1" applyAlignment="1">
      <alignment horizontal="left"/>
    </xf>
    <xf numFmtId="0" fontId="3" fillId="33" borderId="0" xfId="0" applyFont="1" applyFill="1" applyAlignment="1">
      <alignment horizontal="left"/>
    </xf>
    <xf numFmtId="0" fontId="4" fillId="34" borderId="0" xfId="0" applyFont="1" applyFill="1" applyBorder="1" applyAlignment="1">
      <alignment horizontal="center"/>
    </xf>
    <xf numFmtId="0" fontId="14" fillId="0" borderId="0" xfId="0" applyFont="1" applyBorder="1" applyAlignment="1">
      <alignment/>
    </xf>
    <xf numFmtId="0" fontId="9" fillId="0" borderId="0" xfId="0" applyFont="1" applyBorder="1" applyAlignment="1">
      <alignment/>
    </xf>
    <xf numFmtId="168" fontId="3" fillId="10" borderId="0" xfId="0" applyNumberFormat="1" applyFont="1" applyFill="1" applyBorder="1" applyAlignment="1">
      <alignment/>
    </xf>
    <xf numFmtId="0" fontId="3" fillId="35" borderId="0" xfId="0" applyFont="1" applyFill="1" applyBorder="1" applyAlignment="1">
      <alignment/>
    </xf>
    <xf numFmtId="0" fontId="4" fillId="35" borderId="0" xfId="0" applyFont="1" applyFill="1" applyBorder="1" applyAlignment="1">
      <alignment/>
    </xf>
    <xf numFmtId="9" fontId="3" fillId="35" borderId="0" xfId="0" applyNumberFormat="1" applyFont="1" applyFill="1" applyBorder="1" applyAlignment="1">
      <alignment/>
    </xf>
    <xf numFmtId="168" fontId="3" fillId="35" borderId="0" xfId="0" applyNumberFormat="1" applyFont="1" applyFill="1" applyBorder="1" applyAlignment="1">
      <alignment/>
    </xf>
    <xf numFmtId="0" fontId="3" fillId="35" borderId="25" xfId="0" applyFont="1" applyFill="1" applyBorder="1" applyAlignment="1">
      <alignment/>
    </xf>
    <xf numFmtId="9" fontId="4" fillId="35" borderId="0" xfId="0" applyNumberFormat="1" applyFont="1" applyFill="1" applyBorder="1" applyAlignment="1">
      <alignment/>
    </xf>
    <xf numFmtId="168" fontId="4" fillId="35" borderId="0" xfId="0" applyNumberFormat="1" applyFont="1" applyFill="1" applyBorder="1" applyAlignment="1">
      <alignment/>
    </xf>
    <xf numFmtId="0" fontId="4" fillId="35" borderId="26" xfId="0" applyFont="1" applyFill="1" applyBorder="1" applyAlignment="1">
      <alignment/>
    </xf>
    <xf numFmtId="0" fontId="4" fillId="35" borderId="25" xfId="0" applyFont="1" applyFill="1" applyBorder="1" applyAlignment="1">
      <alignment/>
    </xf>
    <xf numFmtId="0" fontId="4" fillId="35" borderId="26" xfId="0" applyFont="1" applyFill="1" applyBorder="1" applyAlignment="1">
      <alignment horizontal="center"/>
    </xf>
    <xf numFmtId="0" fontId="4" fillId="35" borderId="25" xfId="0" applyFont="1" applyFill="1" applyBorder="1" applyAlignment="1">
      <alignment horizontal="center"/>
    </xf>
    <xf numFmtId="0" fontId="4" fillId="35" borderId="24" xfId="0" applyFont="1" applyFill="1" applyBorder="1" applyAlignment="1">
      <alignment/>
    </xf>
    <xf numFmtId="0" fontId="3" fillId="7" borderId="25" xfId="0" applyFont="1" applyFill="1" applyBorder="1" applyAlignment="1">
      <alignment/>
    </xf>
    <xf numFmtId="0" fontId="4" fillId="7" borderId="24" xfId="0" applyFont="1" applyFill="1" applyBorder="1" applyAlignment="1">
      <alignment/>
    </xf>
    <xf numFmtId="0" fontId="3" fillId="7" borderId="24" xfId="0" applyFont="1" applyFill="1" applyBorder="1" applyAlignment="1">
      <alignment/>
    </xf>
    <xf numFmtId="0" fontId="3" fillId="7" borderId="25" xfId="0" applyFont="1" applyFill="1" applyBorder="1" applyAlignment="1">
      <alignment vertical="top" wrapText="1"/>
    </xf>
    <xf numFmtId="166" fontId="3" fillId="7" borderId="25" xfId="0" applyNumberFormat="1" applyFont="1" applyFill="1" applyBorder="1" applyAlignment="1">
      <alignment/>
    </xf>
    <xf numFmtId="2" fontId="4" fillId="9" borderId="0" xfId="0" applyNumberFormat="1" applyFont="1" applyFill="1" applyAlignment="1">
      <alignment horizontal="center"/>
    </xf>
    <xf numFmtId="0" fontId="9" fillId="4" borderId="12" xfId="0" applyFont="1" applyFill="1" applyBorder="1" applyAlignment="1">
      <alignment horizontal="left" wrapText="1"/>
    </xf>
    <xf numFmtId="0" fontId="6" fillId="11" borderId="0" xfId="0" applyFont="1" applyFill="1" applyBorder="1" applyAlignment="1">
      <alignment/>
    </xf>
    <xf numFmtId="0" fontId="80" fillId="11" borderId="0" xfId="24" applyFont="1" applyFill="1" applyBorder="1" applyAlignment="1">
      <alignment/>
    </xf>
    <xf numFmtId="0" fontId="81" fillId="11" borderId="0" xfId="24" applyFont="1" applyFill="1" applyBorder="1" applyAlignment="1">
      <alignment/>
    </xf>
    <xf numFmtId="166" fontId="3" fillId="0" borderId="0" xfId="0" applyNumberFormat="1" applyFont="1" applyFill="1" applyAlignment="1">
      <alignment horizontal="right"/>
    </xf>
    <xf numFmtId="168" fontId="3" fillId="0" borderId="0" xfId="0" applyNumberFormat="1" applyFont="1" applyFill="1" applyAlignment="1">
      <alignment horizontal="right"/>
    </xf>
    <xf numFmtId="0" fontId="4" fillId="33" borderId="0" xfId="0" applyFont="1" applyFill="1" applyBorder="1" applyAlignment="1">
      <alignment/>
    </xf>
    <xf numFmtId="168" fontId="4" fillId="33" borderId="0" xfId="0" applyNumberFormat="1" applyFont="1" applyFill="1" applyBorder="1" applyAlignment="1">
      <alignment/>
    </xf>
    <xf numFmtId="0" fontId="4" fillId="33" borderId="17" xfId="0" applyFont="1" applyFill="1" applyBorder="1" applyAlignment="1">
      <alignment/>
    </xf>
    <xf numFmtId="0" fontId="4" fillId="34" borderId="13" xfId="0" applyFont="1" applyFill="1" applyBorder="1" applyAlignment="1">
      <alignment/>
    </xf>
    <xf numFmtId="0" fontId="9" fillId="0" borderId="12" xfId="0" applyFont="1" applyFill="1" applyBorder="1" applyAlignment="1">
      <alignment vertical="top" wrapText="1"/>
    </xf>
    <xf numFmtId="0" fontId="9" fillId="4" borderId="11" xfId="0" applyFont="1" applyFill="1" applyBorder="1" applyAlignment="1">
      <alignment vertical="top" wrapText="1"/>
    </xf>
    <xf numFmtId="0" fontId="9" fillId="4" borderId="12" xfId="0" applyFont="1" applyFill="1" applyBorder="1" applyAlignment="1">
      <alignment horizontal="left" vertical="top" wrapText="1"/>
    </xf>
    <xf numFmtId="0" fontId="9" fillId="4" borderId="12" xfId="0" applyFont="1" applyFill="1" applyBorder="1" applyAlignment="1">
      <alignment vertical="top" wrapText="1"/>
    </xf>
    <xf numFmtId="0" fontId="9" fillId="0" borderId="12" xfId="0" applyFont="1" applyFill="1" applyBorder="1" applyAlignment="1">
      <alignment horizontal="left" wrapText="1"/>
    </xf>
    <xf numFmtId="0" fontId="13" fillId="0" borderId="0" xfId="0" applyFont="1" applyFill="1" applyAlignment="1">
      <alignment/>
    </xf>
    <xf numFmtId="0" fontId="3" fillId="11" borderId="0" xfId="0" applyFont="1" applyFill="1" applyBorder="1" applyAlignment="1">
      <alignment horizontal="left"/>
    </xf>
    <xf numFmtId="0" fontId="3" fillId="3" borderId="0" xfId="0" applyFont="1" applyFill="1" applyBorder="1" applyAlignment="1">
      <alignment horizontal="right"/>
    </xf>
    <xf numFmtId="0" fontId="79" fillId="3" borderId="0" xfId="0" applyFont="1" applyFill="1" applyBorder="1" applyAlignment="1">
      <alignment/>
    </xf>
    <xf numFmtId="167" fontId="76" fillId="3" borderId="25" xfId="23" applyNumberFormat="1" applyFont="1" applyFill="1" applyBorder="1" applyAlignment="1">
      <alignment horizontal="center" vertical="top" wrapText="1"/>
    </xf>
    <xf numFmtId="0" fontId="3" fillId="3" borderId="25" xfId="0" applyFont="1" applyFill="1" applyBorder="1" applyAlignment="1">
      <alignment/>
    </xf>
    <xf numFmtId="0" fontId="76" fillId="3" borderId="25" xfId="23" applyFont="1" applyFill="1" applyBorder="1" applyAlignment="1">
      <alignment/>
    </xf>
    <xf numFmtId="167" fontId="3" fillId="3" borderId="25" xfId="0" applyNumberFormat="1" applyFont="1" applyFill="1" applyBorder="1" applyAlignment="1">
      <alignment/>
    </xf>
    <xf numFmtId="0" fontId="4" fillId="9" borderId="25" xfId="0" applyFont="1" applyFill="1" applyBorder="1" applyAlignment="1">
      <alignment horizontal="center"/>
    </xf>
    <xf numFmtId="0" fontId="3" fillId="33" borderId="25" xfId="0" applyFont="1" applyFill="1" applyBorder="1" applyAlignment="1">
      <alignment/>
    </xf>
    <xf numFmtId="1" fontId="3" fillId="33" borderId="25" xfId="0" applyNumberFormat="1" applyFont="1" applyFill="1" applyBorder="1" applyAlignment="1">
      <alignment/>
    </xf>
    <xf numFmtId="0" fontId="4" fillId="34" borderId="25" xfId="0" applyFont="1" applyFill="1" applyBorder="1" applyAlignment="1">
      <alignment horizontal="center"/>
    </xf>
    <xf numFmtId="168" fontId="76" fillId="10" borderId="0" xfId="23" applyNumberFormat="1" applyFont="1" applyFill="1" applyBorder="1" applyAlignment="1">
      <alignment/>
    </xf>
    <xf numFmtId="168" fontId="3" fillId="10" borderId="25" xfId="0" applyNumberFormat="1" applyFont="1" applyFill="1" applyBorder="1" applyAlignment="1">
      <alignment/>
    </xf>
    <xf numFmtId="0" fontId="3" fillId="33" borderId="27" xfId="0" applyFont="1" applyFill="1" applyBorder="1" applyAlignment="1">
      <alignment horizontal="right"/>
    </xf>
    <xf numFmtId="164" fontId="3" fillId="33" borderId="26" xfId="0" applyNumberFormat="1" applyFont="1" applyFill="1" applyBorder="1" applyAlignment="1">
      <alignment/>
    </xf>
    <xf numFmtId="0" fontId="3" fillId="33" borderId="28" xfId="0" applyFont="1" applyFill="1" applyBorder="1" applyAlignment="1">
      <alignment/>
    </xf>
    <xf numFmtId="0" fontId="3" fillId="33" borderId="29" xfId="0" applyFont="1" applyFill="1" applyBorder="1" applyAlignment="1">
      <alignment horizontal="right"/>
    </xf>
    <xf numFmtId="0" fontId="3" fillId="33" borderId="30" xfId="0" applyFont="1" applyFill="1" applyBorder="1" applyAlignment="1">
      <alignment/>
    </xf>
    <xf numFmtId="0" fontId="3" fillId="33" borderId="31" xfId="0" applyFont="1" applyFill="1" applyBorder="1" applyAlignment="1">
      <alignment horizontal="right"/>
    </xf>
    <xf numFmtId="164" fontId="3" fillId="33" borderId="25" xfId="0" applyNumberFormat="1" applyFont="1" applyFill="1" applyBorder="1" applyAlignment="1">
      <alignment/>
    </xf>
    <xf numFmtId="0" fontId="3" fillId="33" borderId="32" xfId="0" applyFont="1" applyFill="1" applyBorder="1" applyAlignment="1">
      <alignment/>
    </xf>
    <xf numFmtId="164" fontId="3" fillId="33" borderId="28" xfId="0" applyNumberFormat="1" applyFont="1" applyFill="1" applyBorder="1" applyAlignment="1">
      <alignment/>
    </xf>
    <xf numFmtId="164" fontId="3" fillId="33" borderId="30" xfId="0" applyNumberFormat="1" applyFont="1" applyFill="1" applyBorder="1" applyAlignment="1">
      <alignment/>
    </xf>
    <xf numFmtId="164" fontId="3" fillId="33" borderId="32" xfId="0" applyNumberFormat="1" applyFont="1" applyFill="1" applyBorder="1" applyAlignment="1">
      <alignment/>
    </xf>
    <xf numFmtId="167" fontId="3" fillId="33" borderId="26" xfId="0" applyNumberFormat="1" applyFont="1" applyFill="1" applyBorder="1" applyAlignment="1">
      <alignment/>
    </xf>
    <xf numFmtId="169" fontId="3" fillId="33" borderId="28" xfId="0" applyNumberFormat="1" applyFont="1" applyFill="1" applyBorder="1" applyAlignment="1">
      <alignment/>
    </xf>
    <xf numFmtId="169" fontId="3" fillId="33" borderId="30" xfId="0" applyNumberFormat="1" applyFont="1" applyFill="1" applyBorder="1" applyAlignment="1">
      <alignment/>
    </xf>
    <xf numFmtId="167" fontId="3" fillId="33" borderId="25" xfId="0" applyNumberFormat="1" applyFont="1" applyFill="1" applyBorder="1" applyAlignment="1">
      <alignment/>
    </xf>
    <xf numFmtId="169" fontId="3" fillId="33" borderId="32" xfId="0" applyNumberFormat="1" applyFont="1" applyFill="1" applyBorder="1" applyAlignment="1">
      <alignment/>
    </xf>
    <xf numFmtId="0" fontId="6" fillId="0" borderId="0" xfId="0" applyFont="1" applyFill="1" applyAlignment="1" applyProtection="1">
      <alignment/>
      <protection/>
    </xf>
    <xf numFmtId="0" fontId="6" fillId="0" borderId="0" xfId="0" applyFont="1" applyAlignment="1" applyProtection="1">
      <alignment/>
      <protection/>
    </xf>
    <xf numFmtId="0" fontId="2" fillId="0" borderId="0" xfId="0" applyFont="1" applyAlignment="1" applyProtection="1">
      <alignment/>
      <protection/>
    </xf>
    <xf numFmtId="0" fontId="18" fillId="0" borderId="0" xfId="0" applyFont="1" applyAlignment="1" applyProtection="1">
      <alignment/>
      <protection/>
    </xf>
    <xf numFmtId="0" fontId="0" fillId="0" borderId="0" xfId="0" applyAlignment="1" applyProtection="1">
      <alignment/>
      <protection/>
    </xf>
    <xf numFmtId="0" fontId="2" fillId="0" borderId="0" xfId="0" applyFont="1" applyFill="1" applyAlignment="1" applyProtection="1">
      <alignment/>
      <protection/>
    </xf>
    <xf numFmtId="43" fontId="6" fillId="0" borderId="0" xfId="0" applyNumberFormat="1" applyFont="1" applyFill="1" applyBorder="1" applyAlignment="1" applyProtection="1">
      <alignment/>
      <protection/>
    </xf>
    <xf numFmtId="0" fontId="6" fillId="0" borderId="0" xfId="0" applyFont="1" applyFill="1" applyBorder="1" applyAlignment="1" applyProtection="1">
      <alignment/>
      <protection/>
    </xf>
    <xf numFmtId="0" fontId="0" fillId="0" borderId="0" xfId="0" applyFont="1" applyAlignment="1" applyProtection="1">
      <alignment/>
      <protection/>
    </xf>
    <xf numFmtId="0" fontId="80" fillId="11" borderId="29" xfId="24" applyFont="1" applyBorder="1" applyAlignment="1" applyProtection="1">
      <alignment/>
      <protection/>
    </xf>
    <xf numFmtId="1" fontId="80" fillId="11" borderId="0" xfId="24" applyNumberFormat="1" applyFont="1" applyBorder="1" applyAlignment="1" applyProtection="1">
      <alignment/>
      <protection/>
    </xf>
    <xf numFmtId="0" fontId="80" fillId="11" borderId="0" xfId="24" applyFont="1" applyBorder="1" applyAlignment="1" applyProtection="1">
      <alignment/>
      <protection/>
    </xf>
    <xf numFmtId="1" fontId="80" fillId="11" borderId="30" xfId="24" applyNumberFormat="1" applyFont="1" applyBorder="1" applyAlignment="1" applyProtection="1">
      <alignment/>
      <protection/>
    </xf>
    <xf numFmtId="0" fontId="80" fillId="11" borderId="31" xfId="24" applyFont="1" applyBorder="1" applyAlignment="1" applyProtection="1">
      <alignment/>
      <protection/>
    </xf>
    <xf numFmtId="1" fontId="80" fillId="11" borderId="25" xfId="24" applyNumberFormat="1" applyFont="1" applyBorder="1" applyAlignment="1" applyProtection="1">
      <alignment/>
      <protection/>
    </xf>
    <xf numFmtId="0" fontId="80" fillId="11" borderId="25" xfId="24" applyFont="1" applyBorder="1" applyAlignment="1" applyProtection="1">
      <alignment/>
      <protection/>
    </xf>
    <xf numFmtId="0" fontId="5" fillId="11" borderId="33" xfId="24" applyFont="1" applyBorder="1" applyAlignment="1" applyProtection="1">
      <alignment/>
      <protection/>
    </xf>
    <xf numFmtId="0" fontId="5" fillId="11" borderId="34" xfId="24" applyFont="1" applyBorder="1" applyAlignment="1" applyProtection="1">
      <alignment/>
      <protection/>
    </xf>
    <xf numFmtId="0" fontId="80" fillId="11" borderId="27" xfId="24" applyFont="1" applyBorder="1" applyAlignment="1" applyProtection="1">
      <alignment/>
      <protection/>
    </xf>
    <xf numFmtId="0" fontId="80" fillId="11" borderId="26" xfId="24" applyFont="1" applyBorder="1" applyAlignment="1" applyProtection="1">
      <alignment/>
      <protection/>
    </xf>
    <xf numFmtId="168" fontId="80" fillId="11" borderId="28" xfId="24" applyNumberFormat="1" applyFont="1" applyBorder="1" applyAlignment="1" applyProtection="1">
      <alignment/>
      <protection/>
    </xf>
    <xf numFmtId="168" fontId="80" fillId="11" borderId="30" xfId="24" applyNumberFormat="1" applyFont="1" applyBorder="1" applyAlignment="1" applyProtection="1">
      <alignment/>
      <protection/>
    </xf>
    <xf numFmtId="168" fontId="80" fillId="11" borderId="32" xfId="24" applyNumberFormat="1" applyFont="1" applyBorder="1" applyAlignment="1" applyProtection="1">
      <alignment/>
      <protection/>
    </xf>
    <xf numFmtId="0" fontId="80" fillId="11" borderId="24" xfId="24" applyFont="1" applyBorder="1" applyAlignment="1" applyProtection="1">
      <alignment/>
      <protection/>
    </xf>
    <xf numFmtId="0" fontId="2" fillId="11" borderId="34" xfId="0" applyFont="1" applyFill="1" applyBorder="1" applyAlignment="1" applyProtection="1">
      <alignment/>
      <protection/>
    </xf>
    <xf numFmtId="0" fontId="80" fillId="11" borderId="0" xfId="24" applyFont="1" applyFill="1" applyBorder="1" applyAlignment="1" applyProtection="1">
      <alignment/>
      <protection/>
    </xf>
    <xf numFmtId="0" fontId="2" fillId="11" borderId="30" xfId="0" applyFont="1" applyFill="1" applyBorder="1" applyAlignment="1" applyProtection="1">
      <alignment/>
      <protection/>
    </xf>
    <xf numFmtId="1" fontId="80" fillId="11" borderId="0" xfId="24" applyNumberFormat="1" applyFont="1" applyFill="1" applyBorder="1" applyAlignment="1" applyProtection="1">
      <alignment/>
      <protection/>
    </xf>
    <xf numFmtId="0" fontId="6" fillId="11" borderId="0" xfId="0" applyFont="1" applyFill="1" applyBorder="1" applyAlignment="1" applyProtection="1">
      <alignment/>
      <protection/>
    </xf>
    <xf numFmtId="0" fontId="81" fillId="11" borderId="0" xfId="24" applyFont="1" applyFill="1" applyBorder="1" applyAlignment="1" applyProtection="1">
      <alignment/>
      <protection/>
    </xf>
    <xf numFmtId="0" fontId="18" fillId="11" borderId="32" xfId="0" applyFont="1" applyFill="1" applyBorder="1" applyAlignment="1" applyProtection="1">
      <alignment/>
      <protection/>
    </xf>
    <xf numFmtId="0" fontId="2" fillId="11" borderId="26" xfId="0" applyFont="1" applyFill="1" applyBorder="1" applyAlignment="1" applyProtection="1">
      <alignment/>
      <protection/>
    </xf>
    <xf numFmtId="0" fontId="2" fillId="11" borderId="28" xfId="0" applyFont="1" applyFill="1" applyBorder="1" applyAlignment="1" applyProtection="1">
      <alignment/>
      <protection/>
    </xf>
    <xf numFmtId="0" fontId="2" fillId="11" borderId="25" xfId="0" applyFont="1" applyFill="1" applyBorder="1" applyAlignment="1" applyProtection="1">
      <alignment/>
      <protection/>
    </xf>
    <xf numFmtId="0" fontId="2" fillId="11" borderId="32" xfId="0" applyFont="1" applyFill="1" applyBorder="1" applyAlignment="1" applyProtection="1">
      <alignment/>
      <protection/>
    </xf>
    <xf numFmtId="0" fontId="80" fillId="11" borderId="26" xfId="24" applyFont="1" applyFill="1" applyBorder="1" applyAlignment="1" applyProtection="1">
      <alignment/>
      <protection/>
    </xf>
    <xf numFmtId="0" fontId="80" fillId="11" borderId="25" xfId="24" applyFont="1" applyFill="1" applyBorder="1" applyAlignment="1" applyProtection="1">
      <alignment/>
      <protection/>
    </xf>
    <xf numFmtId="0" fontId="6" fillId="11" borderId="25" xfId="0" applyFont="1" applyFill="1" applyBorder="1" applyAlignment="1" applyProtection="1">
      <alignment/>
      <protection/>
    </xf>
    <xf numFmtId="0" fontId="81" fillId="11" borderId="25" xfId="24" applyFont="1" applyFill="1" applyBorder="1" applyAlignment="1" applyProtection="1">
      <alignment/>
      <protection/>
    </xf>
    <xf numFmtId="0" fontId="6" fillId="11" borderId="26" xfId="0" applyFont="1" applyFill="1" applyBorder="1" applyAlignment="1" applyProtection="1">
      <alignment/>
      <protection/>
    </xf>
    <xf numFmtId="0" fontId="3" fillId="11" borderId="27" xfId="0" applyFont="1" applyFill="1" applyBorder="1" applyAlignment="1">
      <alignment/>
    </xf>
    <xf numFmtId="0" fontId="3" fillId="11" borderId="26" xfId="0" applyFont="1" applyFill="1" applyBorder="1" applyAlignment="1">
      <alignment/>
    </xf>
    <xf numFmtId="0" fontId="3" fillId="11" borderId="28" xfId="0" applyFont="1" applyFill="1" applyBorder="1" applyAlignment="1">
      <alignment/>
    </xf>
    <xf numFmtId="0" fontId="4" fillId="11" borderId="29" xfId="0" applyFont="1" applyFill="1" applyBorder="1" applyAlignment="1">
      <alignment/>
    </xf>
    <xf numFmtId="0" fontId="3" fillId="11" borderId="30" xfId="0" applyFont="1" applyFill="1" applyBorder="1" applyAlignment="1">
      <alignment/>
    </xf>
    <xf numFmtId="0" fontId="3" fillId="11" borderId="29" xfId="0" applyFont="1" applyFill="1" applyBorder="1" applyAlignment="1">
      <alignment/>
    </xf>
    <xf numFmtId="0" fontId="3" fillId="11" borderId="31" xfId="0" applyFont="1" applyFill="1" applyBorder="1" applyAlignment="1">
      <alignment/>
    </xf>
    <xf numFmtId="0" fontId="3" fillId="11" borderId="25" xfId="0" applyFont="1" applyFill="1" applyBorder="1" applyAlignment="1">
      <alignment/>
    </xf>
    <xf numFmtId="0" fontId="4" fillId="11" borderId="27" xfId="0" applyFont="1" applyFill="1" applyBorder="1" applyAlignment="1">
      <alignment/>
    </xf>
    <xf numFmtId="0" fontId="3" fillId="11" borderId="26" xfId="0" applyFont="1" applyFill="1" applyBorder="1" applyAlignment="1">
      <alignment horizontal="left"/>
    </xf>
    <xf numFmtId="0" fontId="5" fillId="11" borderId="27" xfId="0" applyFont="1" applyFill="1" applyBorder="1" applyAlignment="1">
      <alignment/>
    </xf>
    <xf numFmtId="0" fontId="5" fillId="11" borderId="31" xfId="0" applyFont="1" applyFill="1" applyBorder="1" applyAlignment="1">
      <alignment/>
    </xf>
    <xf numFmtId="0" fontId="82" fillId="11" borderId="27" xfId="24" applyFont="1" applyFill="1" applyBorder="1" applyAlignment="1">
      <alignment/>
    </xf>
    <xf numFmtId="0" fontId="6" fillId="11" borderId="26" xfId="0" applyFont="1" applyFill="1" applyBorder="1" applyAlignment="1">
      <alignment/>
    </xf>
    <xf numFmtId="0" fontId="80" fillId="11" borderId="28" xfId="24" applyFont="1" applyFill="1" applyBorder="1" applyAlignment="1">
      <alignment/>
    </xf>
    <xf numFmtId="0" fontId="82" fillId="11" borderId="31" xfId="24" applyFont="1" applyFill="1" applyBorder="1" applyAlignment="1">
      <alignment/>
    </xf>
    <xf numFmtId="0" fontId="6" fillId="11" borderId="25" xfId="0" applyFont="1" applyFill="1" applyBorder="1" applyAlignment="1">
      <alignment/>
    </xf>
    <xf numFmtId="0" fontId="80" fillId="11" borderId="32" xfId="24" applyFont="1" applyFill="1" applyBorder="1" applyAlignment="1">
      <alignment/>
    </xf>
    <xf numFmtId="0" fontId="80" fillId="11" borderId="26" xfId="24" applyFont="1" applyFill="1" applyBorder="1" applyAlignment="1">
      <alignment/>
    </xf>
    <xf numFmtId="0" fontId="81" fillId="11" borderId="26" xfId="24" applyFont="1" applyFill="1" applyBorder="1" applyAlignment="1">
      <alignment/>
    </xf>
    <xf numFmtId="0" fontId="82" fillId="11" borderId="29" xfId="24" applyFont="1" applyFill="1" applyBorder="1" applyAlignment="1">
      <alignment/>
    </xf>
    <xf numFmtId="0" fontId="80" fillId="11" borderId="30" xfId="24" applyFont="1" applyFill="1" applyBorder="1" applyAlignment="1">
      <alignment/>
    </xf>
    <xf numFmtId="0" fontId="8" fillId="0" borderId="12" xfId="53" applyFont="1" applyBorder="1" applyAlignment="1" applyProtection="1">
      <alignment/>
      <protection/>
    </xf>
    <xf numFmtId="0" fontId="14" fillId="4" borderId="10" xfId="0" applyFont="1" applyFill="1" applyBorder="1" applyAlignment="1">
      <alignment horizontal="center"/>
    </xf>
    <xf numFmtId="0" fontId="19" fillId="11" borderId="0" xfId="0" applyFont="1" applyFill="1" applyBorder="1" applyAlignment="1">
      <alignment/>
    </xf>
    <xf numFmtId="0" fontId="83" fillId="11" borderId="0" xfId="24" applyFont="1" applyBorder="1" applyAlignment="1" applyProtection="1">
      <alignment/>
      <protection hidden="1"/>
    </xf>
    <xf numFmtId="0" fontId="83" fillId="11" borderId="25" xfId="24" applyFont="1" applyBorder="1" applyAlignment="1" applyProtection="1">
      <alignment/>
      <protection hidden="1"/>
    </xf>
    <xf numFmtId="0" fontId="20" fillId="0" borderId="11" xfId="0" applyFont="1" applyBorder="1" applyAlignment="1">
      <alignment horizontal="center" wrapText="1"/>
    </xf>
    <xf numFmtId="0" fontId="3" fillId="0" borderId="11" xfId="0" applyFont="1" applyBorder="1" applyAlignment="1">
      <alignment wrapText="1"/>
    </xf>
    <xf numFmtId="0" fontId="3" fillId="11" borderId="25" xfId="0" applyFont="1" applyFill="1" applyBorder="1" applyAlignment="1" applyProtection="1">
      <alignment/>
      <protection/>
    </xf>
    <xf numFmtId="0" fontId="3" fillId="11" borderId="32" xfId="0" applyFont="1" applyFill="1" applyBorder="1" applyAlignment="1" applyProtection="1">
      <alignment/>
      <protection/>
    </xf>
    <xf numFmtId="1" fontId="3" fillId="11" borderId="25" xfId="0" applyNumberFormat="1" applyFont="1" applyFill="1" applyBorder="1" applyAlignment="1" applyProtection="1">
      <alignment/>
      <protection/>
    </xf>
    <xf numFmtId="168" fontId="3" fillId="11" borderId="25" xfId="0" applyNumberFormat="1" applyFont="1" applyFill="1" applyBorder="1" applyAlignment="1" applyProtection="1">
      <alignment/>
      <protection/>
    </xf>
    <xf numFmtId="0" fontId="3" fillId="11" borderId="25" xfId="0" applyFont="1" applyFill="1" applyBorder="1" applyAlignment="1" applyProtection="1">
      <alignment horizontal="left"/>
      <protection/>
    </xf>
    <xf numFmtId="0" fontId="4" fillId="11" borderId="33" xfId="0" applyFont="1" applyFill="1" applyBorder="1" applyAlignment="1">
      <alignment/>
    </xf>
    <xf numFmtId="0" fontId="4" fillId="11" borderId="34" xfId="0" applyFont="1" applyFill="1" applyBorder="1" applyAlignment="1">
      <alignment/>
    </xf>
    <xf numFmtId="0" fontId="84" fillId="0" borderId="0" xfId="0" applyFont="1" applyAlignment="1" applyProtection="1">
      <alignment/>
      <protection/>
    </xf>
    <xf numFmtId="0" fontId="2" fillId="11" borderId="24" xfId="24" applyFont="1" applyBorder="1" applyAlignment="1" applyProtection="1">
      <alignment/>
      <protection hidden="1"/>
    </xf>
    <xf numFmtId="0" fontId="80" fillId="11" borderId="35" xfId="24" applyFont="1" applyBorder="1" applyAlignment="1" applyProtection="1">
      <alignment/>
      <protection/>
    </xf>
    <xf numFmtId="0" fontId="80" fillId="11" borderId="36" xfId="24" applyFont="1" applyBorder="1" applyAlignment="1" applyProtection="1">
      <alignment/>
      <protection/>
    </xf>
    <xf numFmtId="0" fontId="2" fillId="11" borderId="37" xfId="0" applyFont="1" applyFill="1" applyBorder="1" applyAlignment="1" applyProtection="1">
      <alignment/>
      <protection/>
    </xf>
    <xf numFmtId="0" fontId="2" fillId="11" borderId="38" xfId="0" applyFont="1" applyFill="1" applyBorder="1" applyAlignment="1" applyProtection="1">
      <alignment/>
      <protection/>
    </xf>
    <xf numFmtId="0" fontId="80" fillId="11" borderId="35" xfId="24" applyFont="1" applyFill="1" applyBorder="1" applyAlignment="1" applyProtection="1">
      <alignment/>
      <protection/>
    </xf>
    <xf numFmtId="0" fontId="80" fillId="11" borderId="37" xfId="24" applyFont="1" applyFill="1" applyBorder="1" applyAlignment="1" applyProtection="1">
      <alignment/>
      <protection/>
    </xf>
    <xf numFmtId="0" fontId="80" fillId="11" borderId="36" xfId="24" applyFont="1" applyFill="1" applyBorder="1" applyAlignment="1" applyProtection="1">
      <alignment/>
      <protection/>
    </xf>
    <xf numFmtId="0" fontId="80" fillId="11" borderId="38" xfId="24" applyFont="1" applyBorder="1" applyAlignment="1" applyProtection="1">
      <alignment/>
      <protection/>
    </xf>
    <xf numFmtId="0" fontId="80" fillId="11" borderId="37" xfId="24" applyFont="1" applyBorder="1" applyAlignment="1" applyProtection="1">
      <alignment/>
      <protection/>
    </xf>
    <xf numFmtId="0" fontId="3" fillId="0" borderId="0" xfId="0" applyFont="1" applyFill="1" applyBorder="1" applyAlignment="1" applyProtection="1">
      <alignment/>
      <protection locked="0"/>
    </xf>
    <xf numFmtId="0" fontId="3" fillId="0" borderId="26" xfId="0" applyFont="1" applyFill="1" applyBorder="1" applyAlignment="1" applyProtection="1">
      <alignment/>
      <protection locked="0"/>
    </xf>
    <xf numFmtId="168" fontId="3" fillId="0" borderId="0" xfId="0" applyNumberFormat="1"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28"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32" xfId="0" applyFont="1" applyFill="1" applyBorder="1" applyAlignment="1" applyProtection="1">
      <alignment/>
      <protection locked="0"/>
    </xf>
    <xf numFmtId="0" fontId="80" fillId="0" borderId="26" xfId="24" applyFont="1" applyFill="1" applyBorder="1" applyAlignment="1" applyProtection="1">
      <alignment/>
      <protection locked="0"/>
    </xf>
    <xf numFmtId="0" fontId="80" fillId="0" borderId="25" xfId="24" applyFont="1" applyFill="1" applyBorder="1" applyAlignment="1" applyProtection="1">
      <alignment/>
      <protection locked="0"/>
    </xf>
    <xf numFmtId="0" fontId="80" fillId="0" borderId="0" xfId="24" applyFont="1" applyFill="1" applyBorder="1" applyAlignment="1" applyProtection="1">
      <alignment/>
      <protection locked="0"/>
    </xf>
    <xf numFmtId="1" fontId="3" fillId="3" borderId="0" xfId="0" applyNumberFormat="1" applyFont="1" applyFill="1" applyBorder="1" applyAlignment="1">
      <alignment/>
    </xf>
    <xf numFmtId="0" fontId="9" fillId="4" borderId="10" xfId="0" applyFont="1" applyFill="1" applyBorder="1" applyAlignment="1">
      <alignment vertical="top" wrapText="1"/>
    </xf>
    <xf numFmtId="0" fontId="5" fillId="11" borderId="24" xfId="24" applyFont="1" applyBorder="1" applyAlignment="1" applyProtection="1">
      <alignment/>
      <protection/>
    </xf>
    <xf numFmtId="0" fontId="4" fillId="7" borderId="0" xfId="0" applyFont="1" applyFill="1" applyBorder="1" applyAlignment="1">
      <alignment vertical="top" wrapText="1"/>
    </xf>
    <xf numFmtId="0" fontId="3"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11" borderId="32" xfId="0" applyFont="1" applyFill="1" applyBorder="1" applyAlignment="1">
      <alignment/>
    </xf>
    <xf numFmtId="0" fontId="82" fillId="11" borderId="24" xfId="24" applyFont="1" applyFill="1" applyBorder="1" applyAlignment="1" applyProtection="1">
      <alignment/>
      <protection/>
    </xf>
    <xf numFmtId="0" fontId="3" fillId="11" borderId="0" xfId="0" applyFont="1" applyFill="1" applyAlignment="1" applyProtection="1">
      <alignment/>
      <protection locked="0"/>
    </xf>
    <xf numFmtId="0" fontId="2" fillId="11" borderId="34" xfId="24" applyFont="1" applyBorder="1" applyAlignment="1" applyProtection="1">
      <alignment/>
      <protection hidden="1"/>
    </xf>
    <xf numFmtId="0" fontId="3" fillId="7" borderId="26" xfId="0" applyFont="1" applyFill="1" applyBorder="1" applyAlignment="1">
      <alignment/>
    </xf>
    <xf numFmtId="0" fontId="3" fillId="7" borderId="29" xfId="0" applyFont="1" applyFill="1" applyBorder="1" applyAlignment="1">
      <alignment/>
    </xf>
    <xf numFmtId="0" fontId="3" fillId="7" borderId="30" xfId="0" applyFont="1" applyFill="1" applyBorder="1" applyAlignment="1">
      <alignment horizontal="right"/>
    </xf>
    <xf numFmtId="0" fontId="3" fillId="7" borderId="31" xfId="0" applyFont="1" applyFill="1" applyBorder="1" applyAlignment="1">
      <alignment/>
    </xf>
    <xf numFmtId="0" fontId="3" fillId="7" borderId="25" xfId="0" applyFont="1" applyFill="1" applyBorder="1" applyAlignment="1">
      <alignment horizontal="right"/>
    </xf>
    <xf numFmtId="0" fontId="3" fillId="7" borderId="32" xfId="0" applyFont="1" applyFill="1" applyBorder="1" applyAlignment="1">
      <alignment horizontal="right"/>
    </xf>
    <xf numFmtId="0" fontId="3" fillId="7" borderId="29" xfId="0" applyFont="1" applyFill="1" applyBorder="1" applyAlignment="1">
      <alignment horizontal="left" vertical="top" wrapText="1"/>
    </xf>
    <xf numFmtId="0" fontId="3" fillId="7" borderId="30" xfId="0" applyFont="1" applyFill="1" applyBorder="1" applyAlignment="1">
      <alignment horizontal="right" vertical="top" wrapText="1"/>
    </xf>
    <xf numFmtId="0" fontId="3" fillId="7" borderId="30" xfId="0" applyFont="1" applyFill="1" applyBorder="1" applyAlignment="1">
      <alignment vertical="top" wrapText="1"/>
    </xf>
    <xf numFmtId="0" fontId="3" fillId="7" borderId="31" xfId="0" applyFont="1" applyFill="1" applyBorder="1" applyAlignment="1">
      <alignment horizontal="left" vertical="top" wrapText="1"/>
    </xf>
    <xf numFmtId="0" fontId="3" fillId="7" borderId="32" xfId="0" applyFont="1" applyFill="1" applyBorder="1" applyAlignment="1">
      <alignment vertical="top" wrapText="1"/>
    </xf>
    <xf numFmtId="0" fontId="4" fillId="7" borderId="31" xfId="0" applyFont="1" applyFill="1" applyBorder="1" applyAlignment="1">
      <alignment/>
    </xf>
    <xf numFmtId="0" fontId="4" fillId="7" borderId="25" xfId="0" applyFont="1" applyFill="1" applyBorder="1" applyAlignment="1">
      <alignment/>
    </xf>
    <xf numFmtId="0" fontId="4" fillId="7" borderId="32" xfId="0" applyFont="1" applyFill="1" applyBorder="1" applyAlignment="1">
      <alignment/>
    </xf>
    <xf numFmtId="0" fontId="4" fillId="7" borderId="33" xfId="0" applyFont="1" applyFill="1" applyBorder="1" applyAlignment="1">
      <alignment/>
    </xf>
    <xf numFmtId="0" fontId="3" fillId="7" borderId="34" xfId="0" applyFont="1" applyFill="1" applyBorder="1" applyAlignment="1">
      <alignment/>
    </xf>
    <xf numFmtId="0" fontId="4" fillId="33" borderId="15" xfId="0" applyFont="1" applyFill="1" applyBorder="1" applyAlignment="1">
      <alignment horizontal="left"/>
    </xf>
    <xf numFmtId="0" fontId="4" fillId="33" borderId="14" xfId="0" applyFont="1" applyFill="1" applyBorder="1" applyAlignment="1">
      <alignment horizontal="left"/>
    </xf>
    <xf numFmtId="0" fontId="3" fillId="33" borderId="29" xfId="0"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3" fillId="33" borderId="31" xfId="0" applyFont="1" applyFill="1" applyBorder="1" applyAlignment="1">
      <alignment/>
    </xf>
    <xf numFmtId="0" fontId="4" fillId="33" borderId="33" xfId="0" applyFont="1" applyFill="1" applyBorder="1" applyAlignment="1">
      <alignment/>
    </xf>
    <xf numFmtId="0" fontId="4" fillId="33" borderId="34" xfId="0" applyFont="1" applyFill="1" applyBorder="1" applyAlignment="1">
      <alignment/>
    </xf>
    <xf numFmtId="0" fontId="3" fillId="32" borderId="0" xfId="0" applyFont="1" applyFill="1" applyAlignment="1">
      <alignment/>
    </xf>
    <xf numFmtId="0" fontId="3" fillId="32" borderId="0" xfId="0" applyFont="1" applyFill="1" applyBorder="1" applyAlignment="1">
      <alignment/>
    </xf>
    <xf numFmtId="168" fontId="3" fillId="3" borderId="0" xfId="23" applyNumberFormat="1" applyFont="1" applyFill="1" applyBorder="1" applyAlignment="1">
      <alignment horizontal="right" vertical="top" wrapText="1"/>
    </xf>
    <xf numFmtId="0" fontId="80" fillId="0" borderId="0" xfId="24" applyFont="1" applyFill="1" applyBorder="1" applyAlignment="1" applyProtection="1">
      <alignment/>
      <protection/>
    </xf>
    <xf numFmtId="0" fontId="6" fillId="0" borderId="0" xfId="0" applyFont="1" applyBorder="1" applyAlignment="1" applyProtection="1">
      <alignment/>
      <protection/>
    </xf>
    <xf numFmtId="1" fontId="80" fillId="11" borderId="32" xfId="24" applyNumberFormat="1" applyFont="1" applyBorder="1" applyAlignment="1" applyProtection="1">
      <alignment/>
      <protection/>
    </xf>
    <xf numFmtId="0" fontId="82" fillId="11" borderId="24" xfId="24" applyFont="1" applyFill="1" applyBorder="1" applyAlignment="1" applyProtection="1">
      <alignment horizontal="right"/>
      <protection/>
    </xf>
    <xf numFmtId="0" fontId="80" fillId="11" borderId="26" xfId="24" applyFont="1" applyFill="1" applyBorder="1" applyAlignment="1" applyProtection="1">
      <alignment horizontal="right"/>
      <protection/>
    </xf>
    <xf numFmtId="0" fontId="80" fillId="11" borderId="0" xfId="24" applyFont="1" applyFill="1" applyBorder="1" applyAlignment="1" applyProtection="1">
      <alignment horizontal="right"/>
      <protection/>
    </xf>
    <xf numFmtId="0" fontId="80" fillId="11" borderId="25" xfId="24" applyFont="1" applyBorder="1" applyAlignment="1" applyProtection="1">
      <alignment horizontal="right"/>
      <protection/>
    </xf>
    <xf numFmtId="0" fontId="80" fillId="11" borderId="26" xfId="24" applyFont="1" applyBorder="1" applyAlignment="1" applyProtection="1">
      <alignment horizontal="right"/>
      <protection/>
    </xf>
    <xf numFmtId="0" fontId="80" fillId="11" borderId="25" xfId="24" applyFont="1" applyFill="1" applyBorder="1" applyAlignment="1" applyProtection="1">
      <alignment horizontal="right"/>
      <protection/>
    </xf>
    <xf numFmtId="0" fontId="77" fillId="10" borderId="24" xfId="23" applyFont="1" applyFill="1" applyBorder="1" applyAlignment="1">
      <alignment horizontal="center" vertical="top"/>
    </xf>
    <xf numFmtId="0" fontId="4" fillId="11" borderId="26" xfId="0" applyFont="1" applyFill="1" applyBorder="1" applyAlignment="1">
      <alignment/>
    </xf>
    <xf numFmtId="0" fontId="4" fillId="11" borderId="0" xfId="0" applyFont="1" applyFill="1" applyBorder="1" applyAlignment="1">
      <alignment/>
    </xf>
    <xf numFmtId="0" fontId="3" fillId="7" borderId="33" xfId="0" applyFont="1" applyFill="1" applyBorder="1" applyAlignment="1">
      <alignment/>
    </xf>
    <xf numFmtId="0" fontId="5" fillId="11" borderId="24" xfId="24" applyFont="1" applyBorder="1" applyAlignment="1" applyProtection="1">
      <alignment/>
      <protection/>
    </xf>
    <xf numFmtId="0" fontId="14" fillId="0" borderId="0" xfId="0" applyFont="1" applyAlignment="1" applyProtection="1">
      <alignment/>
      <protection/>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35" borderId="0" xfId="0" applyFont="1" applyFill="1" applyBorder="1" applyAlignment="1">
      <alignment horizontal="center"/>
    </xf>
    <xf numFmtId="0" fontId="4" fillId="35" borderId="25" xfId="0" applyFont="1" applyFill="1" applyBorder="1" applyAlignment="1">
      <alignment horizontal="center"/>
    </xf>
    <xf numFmtId="0" fontId="4" fillId="7" borderId="0" xfId="0" applyFont="1" applyFill="1" applyBorder="1" applyAlignment="1">
      <alignment vertical="top" wrapText="1"/>
    </xf>
    <xf numFmtId="0" fontId="0" fillId="0" borderId="0" xfId="0" applyAlignment="1">
      <alignment/>
    </xf>
    <xf numFmtId="0" fontId="4" fillId="11" borderId="0"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35"/>
          <c:y val="0.169"/>
          <c:w val="0.5195"/>
          <c:h val="0.68825"/>
        </c:manualLayout>
      </c:layout>
      <c:pieChart>
        <c:varyColors val="1"/>
        <c:ser>
          <c:idx val="0"/>
          <c:order val="0"/>
          <c:spPr>
            <a:solidFill>
              <a:srgbClr val="9999FF"/>
            </a:solidFill>
            <a:ln w="12700">
              <a:solidFill>
                <a:srgbClr val="000000"/>
              </a:solid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a:ln w="12700">
                <a:solidFill>
                  <a:srgbClr val="000000"/>
                </a:solidFill>
              </a:ln>
            </c:spPr>
          </c:dPt>
          <c:dPt>
            <c:idx val="1"/>
            <c:spPr>
              <a:solidFill>
                <a:srgbClr val="FFFF00"/>
              </a:solidFill>
              <a:ln w="12700">
                <a:solidFill>
                  <a:srgbClr val="000000"/>
                </a:solidFill>
              </a:ln>
            </c:spPr>
          </c:dPt>
          <c:dPt>
            <c:idx val="2"/>
            <c:spPr>
              <a:solidFill>
                <a:srgbClr val="FF0000"/>
              </a:solidFill>
              <a:ln w="12700">
                <a:solidFill>
                  <a:srgbClr val="000000"/>
                </a:solidFill>
              </a:ln>
            </c:spPr>
          </c:dPt>
          <c:dPt>
            <c:idx val="3"/>
            <c:spPr>
              <a:solidFill>
                <a:srgbClr val="0000FF"/>
              </a:solidFill>
              <a:ln w="12700">
                <a:solidFill>
                  <a:srgbClr val="000000"/>
                </a:solidFill>
              </a:ln>
            </c:spPr>
          </c:dPt>
          <c:dPt>
            <c:idx val="4"/>
            <c:spPr>
              <a:pattFill prst="dkHorz">
                <a:fgClr>
                  <a:srgbClr val="00FFFF"/>
                </a:fgClr>
                <a:bgClr>
                  <a:srgbClr val="FFFFFF"/>
                </a:bgClr>
              </a:pattFill>
              <a:ln w="12700">
                <a:solidFill>
                  <a:srgbClr val="000000"/>
                </a:solidFill>
              </a:ln>
            </c:spPr>
          </c:dPt>
          <c:dPt>
            <c:idx val="5"/>
            <c:spPr>
              <a:solidFill>
                <a:srgbClr val="00FFFF"/>
              </a:solidFill>
              <a:ln w="12700">
                <a:solidFill>
                  <a:srgbClr val="000000"/>
                </a:solidFill>
              </a:ln>
            </c:spPr>
          </c:dPt>
          <c:dPt>
            <c:idx val="6"/>
            <c:spPr>
              <a:pattFill prst="ltDnDiag">
                <a:fgClr>
                  <a:srgbClr val="00FFFF"/>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'Data summary'!$K$4:$K$10</c:f>
              <c:strCache/>
            </c:strRef>
          </c:cat>
          <c:val>
            <c:numRef>
              <c:f>'Data summary'!$L$4:$L$10</c:f>
              <c:numCache/>
            </c:numRef>
          </c:val>
        </c:ser>
        <c:firstSliceAng val="349"/>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825"/>
          <c:y val="0.27475"/>
          <c:w val="0.46575"/>
          <c:h val="0.69625"/>
        </c:manualLayout>
      </c:layout>
      <c:pieChart>
        <c:varyColors val="1"/>
        <c:ser>
          <c:idx val="0"/>
          <c:order val="0"/>
          <c:spPr>
            <a:solidFill>
              <a:srgbClr val="9999FF"/>
            </a:solidFill>
            <a:ln w="12700">
              <a:solidFill>
                <a:srgbClr val="000000"/>
              </a:solidFill>
            </a:ln>
          </c:spPr>
          <c:explosion val="16"/>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a:ln w="12700">
                <a:solidFill>
                  <a:srgbClr val="000000"/>
                </a:solidFill>
              </a:ln>
            </c:spPr>
          </c:dPt>
          <c:dPt>
            <c:idx val="1"/>
            <c:spPr>
              <a:solidFill>
                <a:srgbClr val="FFFF00"/>
              </a:solidFill>
              <a:ln w="12700">
                <a:solidFill>
                  <a:srgbClr val="000000"/>
                </a:solidFill>
              </a:ln>
            </c:spPr>
          </c:dPt>
          <c:dPt>
            <c:idx val="2"/>
            <c:spPr>
              <a:solidFill>
                <a:srgbClr val="33CCCC"/>
              </a:solidFill>
              <a:ln w="12700">
                <a:solidFill>
                  <a:srgbClr val="000000"/>
                </a:solidFill>
              </a:ln>
            </c:spPr>
          </c:dPt>
          <c:dLbls>
            <c:dLbl>
              <c:idx val="0"/>
              <c:txPr>
                <a:bodyPr vert="horz" rot="0" anchor="ctr"/>
                <a:lstStyle/>
                <a:p>
                  <a:pPr algn="ctr">
                    <a:defRPr lang="en-US" cap="none" sz="6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6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6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600" b="0" i="0" u="none" baseline="0">
                    <a:solidFill>
                      <a:srgbClr val="000000"/>
                    </a:solidFill>
                  </a:defRPr>
                </a:pPr>
              </a:p>
            </c:txPr>
            <c:dLblPos val="inEnd"/>
            <c:showLegendKey val="0"/>
            <c:showVal val="0"/>
            <c:showBubbleSize val="0"/>
            <c:showCatName val="1"/>
            <c:showSerName val="0"/>
            <c:showLeaderLines val="1"/>
            <c:showPercent val="1"/>
          </c:dLbls>
          <c:cat>
            <c:strRef>
              <c:f>'Data summary'!$M$4:$M$6</c:f>
              <c:strCache/>
            </c:strRef>
          </c:cat>
          <c:val>
            <c:numRef>
              <c:f>'Data summary'!$N$4:$N$6</c:f>
              <c:numCache/>
            </c:numRef>
          </c:val>
        </c:ser>
      </c:pieChart>
      <c:spPr>
        <a:noFill/>
        <a:ln>
          <a:noFill/>
        </a:ln>
      </c:spPr>
    </c:plotArea>
    <c:plotVisOnly val="1"/>
    <c:dispBlanksAs val="zero"/>
    <c:showDLblsOverMax val="0"/>
  </c:chart>
  <c:spPr>
    <a:noFill/>
    <a:ln w="3175">
      <a:noFill/>
    </a:ln>
  </c:spPr>
  <c:txPr>
    <a:bodyPr vert="horz" rot="0"/>
    <a:lstStyle/>
    <a:p>
      <a:pPr>
        <a:defRPr lang="en-US" cap="none" sz="4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kg CH4 production/farm/month and total milk production/farm/month</a:t>
            </a:r>
          </a:p>
        </c:rich>
      </c:tx>
      <c:layout>
        <c:manualLayout>
          <c:xMode val="factor"/>
          <c:yMode val="factor"/>
          <c:x val="0.023"/>
          <c:y val="-0.033"/>
        </c:manualLayout>
      </c:layout>
      <c:spPr>
        <a:noFill/>
        <a:ln w="3175">
          <a:noFill/>
        </a:ln>
      </c:spPr>
    </c:title>
    <c:plotArea>
      <c:layout>
        <c:manualLayout>
          <c:xMode val="edge"/>
          <c:yMode val="edge"/>
          <c:x val="0.09525"/>
          <c:y val="0.02875"/>
          <c:w val="0.7735"/>
          <c:h val="0.829"/>
        </c:manualLayout>
      </c:layout>
      <c:lineChart>
        <c:grouping val="standard"/>
        <c:varyColors val="0"/>
        <c:ser>
          <c:idx val="0"/>
          <c:order val="0"/>
          <c:tx>
            <c:strRef>
              <c:f>'Enteric fermentation'!$D$59</c:f>
              <c:strCache>
                <c:ptCount val="1"/>
                <c:pt idx="0">
                  <c:v>kg CH4/farm/month</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'Enteric fermentation'!$B$60:$B$71</c:f>
              <c:strCache/>
            </c:strRef>
          </c:cat>
          <c:val>
            <c:numRef>
              <c:f>'Enteric fermentation'!$D$60:$D$71</c:f>
              <c:numCache/>
            </c:numRef>
          </c:val>
          <c:smooth val="0"/>
        </c:ser>
        <c:marker val="1"/>
        <c:axId val="17521790"/>
        <c:axId val="23478383"/>
      </c:lineChart>
      <c:lineChart>
        <c:grouping val="standard"/>
        <c:varyColors val="0"/>
        <c:ser>
          <c:idx val="1"/>
          <c:order val="1"/>
          <c:tx>
            <c:strRef>
              <c:f>'Enteric fermentation'!$E$59</c:f>
              <c:strCache>
                <c:ptCount val="1"/>
                <c:pt idx="0">
                  <c:v>L milk/farm/month</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'Enteric fermentation'!$B$60:$B$71</c:f>
              <c:strCache/>
            </c:strRef>
          </c:cat>
          <c:val>
            <c:numRef>
              <c:f>'Enteric fermentation'!$E$60:$E$71</c:f>
              <c:numCache/>
            </c:numRef>
          </c:val>
          <c:smooth val="0"/>
        </c:ser>
        <c:marker val="1"/>
        <c:axId val="9978856"/>
        <c:axId val="22700841"/>
      </c:lineChart>
      <c:catAx>
        <c:axId val="17521790"/>
        <c:scaling>
          <c:orientation val="minMax"/>
        </c:scaling>
        <c:axPos val="b"/>
        <c:title>
          <c:tx>
            <c:rich>
              <a:bodyPr vert="horz" rot="0" anchor="ctr"/>
              <a:lstStyle/>
              <a:p>
                <a:pPr algn="ctr">
                  <a:defRPr/>
                </a:pPr>
                <a:r>
                  <a:rPr lang="en-US" cap="none" sz="1200" b="1" i="0" u="none" baseline="0">
                    <a:solidFill>
                      <a:srgbClr val="000000"/>
                    </a:solidFill>
                  </a:rPr>
                  <a:t>Months</a:t>
                </a:r>
              </a:p>
            </c:rich>
          </c:tx>
          <c:layout>
            <c:manualLayout>
              <c:xMode val="factor"/>
              <c:yMode val="factor"/>
              <c:x val="0.009"/>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478383"/>
        <c:crosses val="autoZero"/>
        <c:auto val="1"/>
        <c:lblOffset val="100"/>
        <c:tickLblSkip val="1"/>
        <c:noMultiLvlLbl val="0"/>
      </c:catAx>
      <c:valAx>
        <c:axId val="23478383"/>
        <c:scaling>
          <c:orientation val="minMax"/>
        </c:scaling>
        <c:axPos val="l"/>
        <c:title>
          <c:tx>
            <c:rich>
              <a:bodyPr vert="horz" rot="-5400000" anchor="ctr"/>
              <a:lstStyle/>
              <a:p>
                <a:pPr algn="ctr">
                  <a:defRPr/>
                </a:pPr>
                <a:r>
                  <a:rPr lang="en-US" cap="none" sz="1200" b="1" i="0" u="none" baseline="0">
                    <a:solidFill>
                      <a:srgbClr val="000000"/>
                    </a:solidFill>
                  </a:rPr>
                  <a:t>kg methane production/farm/month</a:t>
                </a:r>
              </a:p>
            </c:rich>
          </c:tx>
          <c:layout>
            <c:manualLayout>
              <c:xMode val="factor"/>
              <c:yMode val="factor"/>
              <c:x val="-0.002"/>
              <c:y val="-0.02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521790"/>
        <c:crossesAt val="1"/>
        <c:crossBetween val="between"/>
        <c:dispUnits/>
      </c:valAx>
      <c:catAx>
        <c:axId val="9978856"/>
        <c:scaling>
          <c:orientation val="minMax"/>
        </c:scaling>
        <c:axPos val="b"/>
        <c:delete val="1"/>
        <c:majorTickMark val="out"/>
        <c:minorTickMark val="none"/>
        <c:tickLblPos val="none"/>
        <c:crossAx val="22700841"/>
        <c:crosses val="autoZero"/>
        <c:auto val="1"/>
        <c:lblOffset val="100"/>
        <c:tickLblSkip val="1"/>
        <c:noMultiLvlLbl val="0"/>
      </c:catAx>
      <c:valAx>
        <c:axId val="22700841"/>
        <c:scaling>
          <c:orientation val="minMax"/>
        </c:scaling>
        <c:axPos val="l"/>
        <c:title>
          <c:tx>
            <c:rich>
              <a:bodyPr vert="horz" rot="-5400000" anchor="ctr"/>
              <a:lstStyle/>
              <a:p>
                <a:pPr algn="ctr">
                  <a:defRPr/>
                </a:pPr>
                <a:r>
                  <a:rPr lang="en-US" cap="none" sz="1200" b="1" i="0" u="none" baseline="0">
                    <a:solidFill>
                      <a:srgbClr val="000000"/>
                    </a:solidFill>
                  </a:rPr>
                  <a:t>Milk production (L/farm/month)</a:t>
                </a:r>
              </a:p>
            </c:rich>
          </c:tx>
          <c:layout>
            <c:manualLayout>
              <c:xMode val="factor"/>
              <c:yMode val="factor"/>
              <c:x val="-0.002"/>
              <c:y val="-0.009"/>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978856"/>
        <c:crosses val="max"/>
        <c:crossBetween val="between"/>
        <c:dispUnits/>
      </c:valAx>
      <c:spPr>
        <a:solidFill>
          <a:srgbClr val="FFFFFF"/>
        </a:solidFill>
        <a:ln w="3175">
          <a:noFill/>
        </a:ln>
      </c:spPr>
    </c:plotArea>
    <c:legend>
      <c:legendPos val="r"/>
      <c:layout>
        <c:manualLayout>
          <c:xMode val="edge"/>
          <c:yMode val="edge"/>
          <c:x val="0.72625"/>
          <c:y val="0.85325"/>
          <c:w val="0.27075"/>
          <c:h val="0.1317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kg CH4 production/head/day and total milk production/head/day</a:t>
            </a:r>
          </a:p>
        </c:rich>
      </c:tx>
      <c:layout>
        <c:manualLayout>
          <c:xMode val="factor"/>
          <c:yMode val="factor"/>
          <c:x val="-0.03"/>
          <c:y val="-0.0335"/>
        </c:manualLayout>
      </c:layout>
      <c:spPr>
        <a:noFill/>
        <a:ln w="3175">
          <a:noFill/>
        </a:ln>
      </c:spPr>
    </c:title>
    <c:plotArea>
      <c:layout>
        <c:manualLayout>
          <c:xMode val="edge"/>
          <c:yMode val="edge"/>
          <c:x val="0.06075"/>
          <c:y val="0.03025"/>
          <c:w val="0.75175"/>
          <c:h val="0.82825"/>
        </c:manualLayout>
      </c:layout>
      <c:lineChart>
        <c:grouping val="standard"/>
        <c:varyColors val="0"/>
        <c:ser>
          <c:idx val="0"/>
          <c:order val="0"/>
          <c:tx>
            <c:strRef>
              <c:f>'Enteric fermentation'!$F$59</c:f>
              <c:strCache>
                <c:ptCount val="1"/>
                <c:pt idx="0">
                  <c:v>kg CH4/head/day</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'Enteric fermentation'!$B$60:$B$71</c:f>
              <c:strCache/>
            </c:strRef>
          </c:cat>
          <c:val>
            <c:numRef>
              <c:f>'Enteric fermentation'!$F$60:$F$71</c:f>
              <c:numCache/>
            </c:numRef>
          </c:val>
          <c:smooth val="0"/>
        </c:ser>
        <c:marker val="1"/>
        <c:axId val="2980978"/>
        <c:axId val="26828803"/>
      </c:lineChart>
      <c:lineChart>
        <c:grouping val="standard"/>
        <c:varyColors val="0"/>
        <c:ser>
          <c:idx val="1"/>
          <c:order val="1"/>
          <c:tx>
            <c:strRef>
              <c:f>'Enteric fermentation'!$K$59</c:f>
              <c:strCache>
                <c:ptCount val="1"/>
                <c:pt idx="0">
                  <c:v>L milk/head/day</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'Enteric fermentation'!$B$60:$B$71</c:f>
              <c:strCache/>
            </c:strRef>
          </c:cat>
          <c:val>
            <c:numRef>
              <c:f>'Enteric fermentation'!$K$60:$K$71</c:f>
              <c:numCache/>
            </c:numRef>
          </c:val>
          <c:smooth val="0"/>
        </c:ser>
        <c:marker val="1"/>
        <c:axId val="40132636"/>
        <c:axId val="25649405"/>
      </c:lineChart>
      <c:catAx>
        <c:axId val="2980978"/>
        <c:scaling>
          <c:orientation val="minMax"/>
        </c:scaling>
        <c:axPos val="b"/>
        <c:title>
          <c:tx>
            <c:rich>
              <a:bodyPr vert="horz" rot="0" anchor="ctr"/>
              <a:lstStyle/>
              <a:p>
                <a:pPr algn="ctr">
                  <a:defRPr/>
                </a:pPr>
                <a:r>
                  <a:rPr lang="en-US" cap="none" sz="1200" b="1" i="0" u="none" baseline="0">
                    <a:solidFill>
                      <a:srgbClr val="000000"/>
                    </a:solidFill>
                  </a:rPr>
                  <a:t>Months</a:t>
                </a:r>
              </a:p>
            </c:rich>
          </c:tx>
          <c:layout>
            <c:manualLayout>
              <c:xMode val="factor"/>
              <c:yMode val="factor"/>
              <c:x val="0.009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828803"/>
        <c:crosses val="autoZero"/>
        <c:auto val="1"/>
        <c:lblOffset val="100"/>
        <c:tickLblSkip val="1"/>
        <c:noMultiLvlLbl val="0"/>
      </c:catAx>
      <c:valAx>
        <c:axId val="26828803"/>
        <c:scaling>
          <c:orientation val="minMax"/>
        </c:scaling>
        <c:axPos val="l"/>
        <c:title>
          <c:tx>
            <c:rich>
              <a:bodyPr vert="horz" rot="-5400000" anchor="ctr"/>
              <a:lstStyle/>
              <a:p>
                <a:pPr algn="ctr">
                  <a:defRPr/>
                </a:pPr>
                <a:r>
                  <a:rPr lang="en-US" cap="none" sz="1200" b="1" i="0" u="none" baseline="0">
                    <a:solidFill>
                      <a:srgbClr val="000000"/>
                    </a:solidFill>
                  </a:rPr>
                  <a:t>kg CH4 production/head/day</a:t>
                </a:r>
              </a:p>
            </c:rich>
          </c:tx>
          <c:layout>
            <c:manualLayout>
              <c:xMode val="factor"/>
              <c:yMode val="factor"/>
              <c:x val="-0.002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80978"/>
        <c:crossesAt val="1"/>
        <c:crossBetween val="between"/>
        <c:dispUnits/>
      </c:valAx>
      <c:catAx>
        <c:axId val="40132636"/>
        <c:scaling>
          <c:orientation val="minMax"/>
        </c:scaling>
        <c:axPos val="b"/>
        <c:delete val="1"/>
        <c:majorTickMark val="out"/>
        <c:minorTickMark val="none"/>
        <c:tickLblPos val="none"/>
        <c:crossAx val="25649405"/>
        <c:crosses val="autoZero"/>
        <c:auto val="1"/>
        <c:lblOffset val="100"/>
        <c:tickLblSkip val="1"/>
        <c:noMultiLvlLbl val="0"/>
      </c:catAx>
      <c:valAx>
        <c:axId val="25649405"/>
        <c:scaling>
          <c:orientation val="minMax"/>
        </c:scaling>
        <c:axPos val="l"/>
        <c:title>
          <c:tx>
            <c:rich>
              <a:bodyPr vert="horz" rot="-5400000" anchor="ctr"/>
              <a:lstStyle/>
              <a:p>
                <a:pPr algn="ctr">
                  <a:defRPr/>
                </a:pPr>
                <a:r>
                  <a:rPr lang="en-US" cap="none" sz="1200" b="1" i="0" u="none" baseline="0">
                    <a:solidFill>
                      <a:srgbClr val="000000"/>
                    </a:solidFill>
                  </a:rPr>
                  <a:t>Milk production (L/head/day)</a:t>
                </a:r>
              </a:p>
            </c:rich>
          </c:tx>
          <c:layout>
            <c:manualLayout>
              <c:xMode val="factor"/>
              <c:yMode val="factor"/>
              <c:x val="-0.0027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132636"/>
        <c:crosses val="max"/>
        <c:crossBetween val="between"/>
        <c:dispUnits/>
      </c:valAx>
      <c:spPr>
        <a:solidFill>
          <a:srgbClr val="FFFFFF"/>
        </a:solidFill>
        <a:ln w="3175">
          <a:noFill/>
        </a:ln>
      </c:spPr>
    </c:plotArea>
    <c:legend>
      <c:legendPos val="r"/>
      <c:layout>
        <c:manualLayout>
          <c:xMode val="edge"/>
          <c:yMode val="edge"/>
          <c:x val="0.74875"/>
          <c:y val="0.86275"/>
          <c:w val="0.25125"/>
          <c:h val="0.131"/>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Carbon sequestration for forests</a:t>
            </a:r>
          </a:p>
        </c:rich>
      </c:tx>
      <c:layout>
        <c:manualLayout>
          <c:xMode val="factor"/>
          <c:yMode val="factor"/>
          <c:x val="-0.00125"/>
          <c:y val="-0.00925"/>
        </c:manualLayout>
      </c:layout>
      <c:spPr>
        <a:noFill/>
        <a:ln w="3175">
          <a:noFill/>
        </a:ln>
      </c:spPr>
    </c:title>
    <c:plotArea>
      <c:layout>
        <c:manualLayout>
          <c:xMode val="edge"/>
          <c:yMode val="edge"/>
          <c:x val="0.04075"/>
          <c:y val="-0.0135"/>
          <c:w val="0.81575"/>
          <c:h val="0.9355"/>
        </c:manualLayout>
      </c:layout>
      <c:lineChart>
        <c:grouping val="standard"/>
        <c:varyColors val="0"/>
        <c:ser>
          <c:idx val="0"/>
          <c:order val="0"/>
          <c:tx>
            <c:strRef>
              <c:f>Trees!$B$5</c:f>
              <c:strCache>
                <c:ptCount val="1"/>
                <c:pt idx="0">
                  <c:v>High</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multiLvlStrRef>
              <c:f>Trees!$C$3:$AG$4</c:f>
              <c:multiLvlStrCache/>
            </c:multiLvlStrRef>
          </c:cat>
          <c:val>
            <c:numRef>
              <c:f>Trees!$C$5:$AG$5</c:f>
              <c:numCache/>
            </c:numRef>
          </c:val>
          <c:smooth val="0"/>
        </c:ser>
        <c:ser>
          <c:idx val="1"/>
          <c:order val="1"/>
          <c:tx>
            <c:strRef>
              <c:f>Trees!$B$6</c:f>
              <c:strCache>
                <c:ptCount val="1"/>
                <c:pt idx="0">
                  <c:v>Med-High</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multiLvlStrRef>
              <c:f>Trees!$C$3:$AG$4</c:f>
              <c:multiLvlStrCache/>
            </c:multiLvlStrRef>
          </c:cat>
          <c:val>
            <c:numRef>
              <c:f>Trees!$C$6:$AG$6</c:f>
              <c:numCache/>
            </c:numRef>
          </c:val>
          <c:smooth val="0"/>
        </c:ser>
        <c:ser>
          <c:idx val="2"/>
          <c:order val="2"/>
          <c:tx>
            <c:strRef>
              <c:f>Trees!$B$7</c:f>
              <c:strCache>
                <c:ptCount val="1"/>
                <c:pt idx="0">
                  <c:v>Med</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multiLvlStrRef>
              <c:f>Trees!$C$3:$AG$4</c:f>
              <c:multiLvlStrCache/>
            </c:multiLvlStrRef>
          </c:cat>
          <c:val>
            <c:numRef>
              <c:f>Trees!$C$7:$AG$7</c:f>
              <c:numCache/>
            </c:numRef>
          </c:val>
          <c:smooth val="0"/>
        </c:ser>
        <c:ser>
          <c:idx val="3"/>
          <c:order val="3"/>
          <c:tx>
            <c:strRef>
              <c:f>Trees!$B$8</c:f>
              <c:strCache>
                <c:ptCount val="1"/>
                <c:pt idx="0">
                  <c:v>Med-Low</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multiLvlStrRef>
              <c:f>Trees!$C$3:$AG$4</c:f>
              <c:multiLvlStrCache/>
            </c:multiLvlStrRef>
          </c:cat>
          <c:val>
            <c:numRef>
              <c:f>Trees!$C$8:$AG$8</c:f>
              <c:numCache/>
            </c:numRef>
          </c:val>
          <c:smooth val="0"/>
        </c:ser>
        <c:ser>
          <c:idx val="4"/>
          <c:order val="4"/>
          <c:tx>
            <c:strRef>
              <c:f>Trees!$B$9</c:f>
              <c:strCache>
                <c:ptCount val="1"/>
                <c:pt idx="0">
                  <c:v>Low</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multiLvlStrRef>
              <c:f>Trees!$C$3:$AG$4</c:f>
              <c:multiLvlStrCache/>
            </c:multiLvlStrRef>
          </c:cat>
          <c:val>
            <c:numRef>
              <c:f>Trees!$C$9:$AG$9</c:f>
              <c:numCache/>
            </c:numRef>
          </c:val>
          <c:smooth val="0"/>
        </c:ser>
        <c:marker val="1"/>
        <c:axId val="29518054"/>
        <c:axId val="64335895"/>
      </c:lineChart>
      <c:catAx>
        <c:axId val="29518054"/>
        <c:scaling>
          <c:orientation val="minMax"/>
        </c:scaling>
        <c:axPos val="b"/>
        <c:title>
          <c:tx>
            <c:rich>
              <a:bodyPr vert="horz" rot="0" anchor="ctr"/>
              <a:lstStyle/>
              <a:p>
                <a:pPr algn="ctr">
                  <a:defRPr/>
                </a:pPr>
                <a:r>
                  <a:rPr lang="en-US" cap="none" sz="1200" b="1" i="0" u="none" baseline="0">
                    <a:solidFill>
                      <a:srgbClr val="000000"/>
                    </a:solidFill>
                  </a:rPr>
                  <a:t>Years</a:t>
                </a:r>
              </a:p>
            </c:rich>
          </c:tx>
          <c:layout>
            <c:manualLayout>
              <c:xMode val="factor"/>
              <c:yMode val="factor"/>
              <c:x val="0.001"/>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335895"/>
        <c:crosses val="autoZero"/>
        <c:auto val="1"/>
        <c:lblOffset val="100"/>
        <c:tickLblSkip val="1"/>
        <c:noMultiLvlLbl val="0"/>
      </c:catAx>
      <c:valAx>
        <c:axId val="64335895"/>
        <c:scaling>
          <c:orientation val="minMax"/>
        </c:scaling>
        <c:axPos val="l"/>
        <c:title>
          <c:tx>
            <c:rich>
              <a:bodyPr vert="horz" rot="-5400000" anchor="ctr"/>
              <a:lstStyle/>
              <a:p>
                <a:pPr algn="ctr">
                  <a:defRPr/>
                </a:pPr>
                <a:r>
                  <a:rPr lang="en-US" cap="none" sz="1200" b="1" i="0" u="none" baseline="0">
                    <a:solidFill>
                      <a:srgbClr val="000000"/>
                    </a:solidFill>
                  </a:rPr>
                  <a:t>t CO2-e/ha (Inc trees and debris)</a:t>
                </a:r>
              </a:p>
            </c:rich>
          </c:tx>
          <c:layout>
            <c:manualLayout>
              <c:xMode val="factor"/>
              <c:yMode val="factor"/>
              <c:x val="-0.000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518054"/>
        <c:crossesAt val="1"/>
        <c:crossBetween val="between"/>
        <c:dispUnits/>
      </c:valAx>
      <c:spPr>
        <a:solidFill>
          <a:srgbClr val="FFFFFF"/>
        </a:solidFill>
        <a:ln w="3175">
          <a:noFill/>
        </a:ln>
      </c:spPr>
    </c:plotArea>
    <c:legend>
      <c:legendPos val="r"/>
      <c:layout>
        <c:manualLayout>
          <c:xMode val="edge"/>
          <c:yMode val="edge"/>
          <c:x val="0.865"/>
          <c:y val="0.30025"/>
          <c:w val="0.1325"/>
          <c:h val="0.39325"/>
        </c:manualLayout>
      </c:layout>
      <c:overlay val="0"/>
      <c:spPr>
        <a:no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8782050</xdr:colOff>
      <xdr:row>1</xdr:row>
      <xdr:rowOff>523875</xdr:rowOff>
    </xdr:from>
    <xdr:to>
      <xdr:col>1</xdr:col>
      <xdr:colOff>9553575</xdr:colOff>
      <xdr:row>1</xdr:row>
      <xdr:rowOff>1400175</xdr:rowOff>
    </xdr:to>
    <xdr:pic>
      <xdr:nvPicPr>
        <xdr:cNvPr id="1" name="Picture 33" descr="MINCMYK"/>
        <xdr:cNvPicPr preferRelativeResize="1">
          <a:picLocks noChangeAspect="1"/>
        </xdr:cNvPicPr>
      </xdr:nvPicPr>
      <xdr:blipFill>
        <a:blip r:embed="rId1"/>
        <a:stretch>
          <a:fillRect/>
        </a:stretch>
      </xdr:blipFill>
      <xdr:spPr>
        <a:xfrm>
          <a:off x="8943975" y="923925"/>
          <a:ext cx="771525" cy="876300"/>
        </a:xfrm>
        <a:prstGeom prst="rect">
          <a:avLst/>
        </a:prstGeom>
        <a:noFill/>
        <a:ln w="9525" cmpd="sng">
          <a:solidFill>
            <a:srgbClr val="000000"/>
          </a:solidFill>
          <a:headEnd type="none"/>
          <a:tailEnd type="none"/>
        </a:ln>
      </xdr:spPr>
    </xdr:pic>
    <xdr:clientData/>
  </xdr:twoCellAnchor>
  <xdr:twoCellAnchor>
    <xdr:from>
      <xdr:col>1</xdr:col>
      <xdr:colOff>6143625</xdr:colOff>
      <xdr:row>10</xdr:row>
      <xdr:rowOff>161925</xdr:rowOff>
    </xdr:from>
    <xdr:to>
      <xdr:col>2</xdr:col>
      <xdr:colOff>0</xdr:colOff>
      <xdr:row>13</xdr:row>
      <xdr:rowOff>133350</xdr:rowOff>
    </xdr:to>
    <xdr:sp>
      <xdr:nvSpPr>
        <xdr:cNvPr id="2" name="AutoShape 42"/>
        <xdr:cNvSpPr>
          <a:spLocks/>
        </xdr:cNvSpPr>
      </xdr:nvSpPr>
      <xdr:spPr>
        <a:xfrm flipH="1">
          <a:off x="6305550" y="5162550"/>
          <a:ext cx="3409950" cy="723900"/>
        </a:xfrm>
        <a:prstGeom prst="roundRect">
          <a:avLst/>
        </a:prstGeom>
        <a:solidFill>
          <a:srgbClr val="FFFF00"/>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Richard Eckard, Roger Hegarty and Geoff Thomas (2008). Dairy Greenhouse Accounting Framework. Project no: UM10778 - </a:t>
          </a:r>
          <a:r>
            <a:rPr lang="en-US" cap="none" sz="1000" b="1" i="0" u="none" baseline="0">
              <a:solidFill>
                <a:srgbClr val="000000"/>
              </a:solidFill>
            </a:rPr>
            <a:t>Updated </a:t>
          </a:r>
          <a:r>
            <a:rPr lang="en-US" cap="none" sz="1000" b="0" i="0" u="none" baseline="0">
              <a:solidFill>
                <a:srgbClr val="000000"/>
              </a:solidFill>
            </a:rPr>
            <a:t>by Seyda Ozkan and Richard Eckard in</a:t>
          </a:r>
          <a:r>
            <a:rPr lang="en-US" cap="none" sz="1000" b="1" i="0" u="none" baseline="0">
              <a:solidFill>
                <a:srgbClr val="000000"/>
              </a:solidFill>
            </a:rPr>
            <a:t> May 2012</a:t>
          </a:r>
          <a:r>
            <a:rPr lang="en-US" cap="none" sz="1000" b="0" i="0" u="none" baseline="0">
              <a:solidFill>
                <a:srgbClr val="000000"/>
              </a:solidFill>
            </a:rPr>
            <a:t>. http://www.greenhouse.unimelb.edu.au/Tools.htm</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0.0025</cdr:y>
    </cdr:from>
    <cdr:to>
      <cdr:x>0.89125</cdr:x>
      <cdr:y>0.331</cdr:y>
    </cdr:to>
    <cdr:sp>
      <cdr:nvSpPr>
        <cdr:cNvPr id="1" name="Text Box 1"/>
        <cdr:cNvSpPr txBox="1">
          <a:spLocks noChangeArrowheads="1"/>
        </cdr:cNvSpPr>
      </cdr:nvSpPr>
      <cdr:spPr>
        <a:xfrm>
          <a:off x="19050" y="0"/>
          <a:ext cx="1800225" cy="457200"/>
        </a:xfrm>
        <a:prstGeom prst="rect">
          <a:avLst/>
        </a:prstGeom>
        <a:noFill/>
        <a:ln w="9525" cmpd="sng">
          <a:noFill/>
        </a:ln>
      </cdr:spPr>
      <c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Greenhouse Gas Profile
</a:t>
          </a:r>
          <a:r>
            <a:rPr lang="en-US" cap="none" sz="800" b="1" i="0" u="none" baseline="0">
              <a:solidFill>
                <a:srgbClr val="000000"/>
              </a:solidFill>
              <a:latin typeface="Times New Roman"/>
              <a:ea typeface="Times New Roman"/>
              <a:cs typeface="Times New Roman"/>
            </a:rPr>
            <a:t>Summary</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15</xdr:row>
      <xdr:rowOff>0</xdr:rowOff>
    </xdr:from>
    <xdr:to>
      <xdr:col>13</xdr:col>
      <xdr:colOff>704850</xdr:colOff>
      <xdr:row>30</xdr:row>
      <xdr:rowOff>95250</xdr:rowOff>
    </xdr:to>
    <xdr:graphicFrame>
      <xdr:nvGraphicFramePr>
        <xdr:cNvPr id="1" name="Chart 13"/>
        <xdr:cNvGraphicFramePr/>
      </xdr:nvGraphicFramePr>
      <xdr:xfrm>
        <a:off x="7677150" y="3200400"/>
        <a:ext cx="3848100" cy="2924175"/>
      </xdr:xfrm>
      <a:graphic>
        <a:graphicData uri="http://schemas.openxmlformats.org/drawingml/2006/chart">
          <c:chart xmlns:c="http://schemas.openxmlformats.org/drawingml/2006/chart" r:id="rId1"/>
        </a:graphicData>
      </a:graphic>
    </xdr:graphicFrame>
    <xdr:clientData/>
  </xdr:twoCellAnchor>
  <xdr:twoCellAnchor>
    <xdr:from>
      <xdr:col>11</xdr:col>
      <xdr:colOff>628650</xdr:colOff>
      <xdr:row>6</xdr:row>
      <xdr:rowOff>66675</xdr:rowOff>
    </xdr:from>
    <xdr:to>
      <xdr:col>14</xdr:col>
      <xdr:colOff>190500</xdr:colOff>
      <xdr:row>13</xdr:row>
      <xdr:rowOff>95250</xdr:rowOff>
    </xdr:to>
    <xdr:graphicFrame>
      <xdr:nvGraphicFramePr>
        <xdr:cNvPr id="2" name="Chart 14"/>
        <xdr:cNvGraphicFramePr/>
      </xdr:nvGraphicFramePr>
      <xdr:xfrm>
        <a:off x="9782175" y="1514475"/>
        <a:ext cx="2047875" cy="1400175"/>
      </xdr:xfrm>
      <a:graphic>
        <a:graphicData uri="http://schemas.openxmlformats.org/drawingml/2006/chart">
          <c:chart xmlns:c="http://schemas.openxmlformats.org/drawingml/2006/chart" r:id="rId2"/>
        </a:graphicData>
      </a:graphic>
    </xdr:graphicFrame>
    <xdr:clientData/>
  </xdr:twoCellAnchor>
  <xdr:twoCellAnchor editAs="oneCell">
    <xdr:from>
      <xdr:col>5</xdr:col>
      <xdr:colOff>85725</xdr:colOff>
      <xdr:row>25</xdr:row>
      <xdr:rowOff>95250</xdr:rowOff>
    </xdr:from>
    <xdr:to>
      <xdr:col>6</xdr:col>
      <xdr:colOff>76200</xdr:colOff>
      <xdr:row>29</xdr:row>
      <xdr:rowOff>142875</xdr:rowOff>
    </xdr:to>
    <xdr:pic>
      <xdr:nvPicPr>
        <xdr:cNvPr id="3" name="Picture 33" descr="MINCMYK"/>
        <xdr:cNvPicPr preferRelativeResize="1">
          <a:picLocks noChangeAspect="1"/>
        </xdr:cNvPicPr>
      </xdr:nvPicPr>
      <xdr:blipFill>
        <a:blip r:embed="rId3"/>
        <a:stretch>
          <a:fillRect/>
        </a:stretch>
      </xdr:blipFill>
      <xdr:spPr>
        <a:xfrm>
          <a:off x="4486275" y="5257800"/>
          <a:ext cx="790575" cy="752475"/>
        </a:xfrm>
        <a:prstGeom prst="rect">
          <a:avLst/>
        </a:prstGeom>
        <a:noFill/>
        <a:ln w="9525" cmpd="sng">
          <a:solidFill>
            <a:srgbClr val="000000"/>
          </a:solidFill>
          <a:headEnd type="none"/>
          <a:tailEnd type="none"/>
        </a:ln>
      </xdr:spPr>
    </xdr:pic>
    <xdr:clientData/>
  </xdr:twoCellAnchor>
  <xdr:twoCellAnchor>
    <xdr:from>
      <xdr:col>1</xdr:col>
      <xdr:colOff>228600</xdr:colOff>
      <xdr:row>25</xdr:row>
      <xdr:rowOff>66675</xdr:rowOff>
    </xdr:from>
    <xdr:to>
      <xdr:col>5</xdr:col>
      <xdr:colOff>28575</xdr:colOff>
      <xdr:row>30</xdr:row>
      <xdr:rowOff>19050</xdr:rowOff>
    </xdr:to>
    <xdr:sp>
      <xdr:nvSpPr>
        <xdr:cNvPr id="4" name="AutoShape 42"/>
        <xdr:cNvSpPr>
          <a:spLocks/>
        </xdr:cNvSpPr>
      </xdr:nvSpPr>
      <xdr:spPr>
        <a:xfrm>
          <a:off x="314325" y="5229225"/>
          <a:ext cx="4114800" cy="819150"/>
        </a:xfrm>
        <a:prstGeom prst="roundRect">
          <a:avLst/>
        </a:prstGeom>
        <a:solidFill>
          <a:srgbClr val="FFFF00"/>
        </a:solidFill>
        <a:ln w="9525" cmpd="sng">
          <a:solidFill>
            <a:srgbClr val="000000"/>
          </a:solidFill>
          <a:headEnd type="none"/>
          <a:tailEnd type="none"/>
        </a:ln>
      </xdr:spPr>
      <xdr:txBody>
        <a:bodyPr vertOverflow="clip" wrap="square" lIns="27432" tIns="22860" rIns="0" bIns="0"/>
        <a:p>
          <a:pPr algn="ctr">
            <a:defRPr/>
          </a:pPr>
          <a:r>
            <a:rPr lang="en-US" cap="none" sz="1100" b="0" i="0" u="none" baseline="0">
              <a:solidFill>
                <a:srgbClr val="000000"/>
              </a:solidFill>
            </a:rPr>
            <a:t>Richard Eckard, Roger Hegarty and Geoff Thomas (2008). Dairy</a:t>
          </a:r>
          <a:r>
            <a:rPr lang="en-US" cap="none" sz="1100" b="0" i="0" u="none" baseline="0">
              <a:solidFill>
                <a:srgbClr val="000000"/>
              </a:solidFill>
            </a:rPr>
            <a:t> Greenhouse Accounting Framework. P</a:t>
          </a:r>
          <a:r>
            <a:rPr lang="en-US" cap="none" sz="1100" b="0" i="0" u="none" baseline="0">
              <a:solidFill>
                <a:srgbClr val="000000"/>
              </a:solidFill>
            </a:rPr>
            <a:t>roject no: UM10778</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Updated</a:t>
          </a:r>
          <a:r>
            <a:rPr lang="en-US" cap="none" sz="1100" b="0" i="0" u="none" baseline="0">
              <a:solidFill>
                <a:srgbClr val="000000"/>
              </a:solidFill>
            </a:rPr>
            <a:t> by Seyda Ozkan and Richard Eckard in</a:t>
          </a:r>
          <a:r>
            <a:rPr lang="en-US" cap="none" sz="1100" b="1" i="0" u="none" baseline="0">
              <a:solidFill>
                <a:srgbClr val="000000"/>
              </a:solidFill>
            </a:rPr>
            <a:t> May 2012
</a:t>
          </a:r>
          <a:r>
            <a:rPr lang="en-US" cap="none" sz="1100" b="0" i="0" u="none" baseline="0">
              <a:solidFill>
                <a:srgbClr val="000000"/>
              </a:solidFill>
            </a:rPr>
            <a:t>http://www.greenhouse.unimelb.edu.au/Tools.htm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1657350</xdr:colOff>
      <xdr:row>77</xdr:row>
      <xdr:rowOff>19050</xdr:rowOff>
    </xdr:from>
    <xdr:to>
      <xdr:col>7</xdr:col>
      <xdr:colOff>552450</xdr:colOff>
      <xdr:row>93</xdr:row>
      <xdr:rowOff>9525</xdr:rowOff>
    </xdr:to>
    <xdr:graphicFrame>
      <xdr:nvGraphicFramePr>
        <xdr:cNvPr id="1" name="Chart 7"/>
        <xdr:cNvGraphicFramePr/>
      </xdr:nvGraphicFramePr>
      <xdr:xfrm>
        <a:off x="1876425" y="15659100"/>
        <a:ext cx="6276975" cy="3267075"/>
      </xdr:xfrm>
      <a:graphic>
        <a:graphicData uri="http://schemas.openxmlformats.org/drawingml/2006/chart">
          <c:chart xmlns:c="http://schemas.openxmlformats.org/drawingml/2006/chart" r:id="rId1"/>
        </a:graphicData>
      </a:graphic>
    </xdr:graphicFrame>
    <xdr:clientData/>
  </xdr:twoCellAnchor>
  <xdr:twoCellAnchor>
    <xdr:from>
      <xdr:col>7</xdr:col>
      <xdr:colOff>714375</xdr:colOff>
      <xdr:row>77</xdr:row>
      <xdr:rowOff>47625</xdr:rowOff>
    </xdr:from>
    <xdr:to>
      <xdr:col>12</xdr:col>
      <xdr:colOff>781050</xdr:colOff>
      <xdr:row>92</xdr:row>
      <xdr:rowOff>180975</xdr:rowOff>
    </xdr:to>
    <xdr:graphicFrame>
      <xdr:nvGraphicFramePr>
        <xdr:cNvPr id="2" name="Chart 9"/>
        <xdr:cNvGraphicFramePr/>
      </xdr:nvGraphicFramePr>
      <xdr:xfrm>
        <a:off x="8315325" y="15687675"/>
        <a:ext cx="5810250" cy="32099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12</xdr:row>
      <xdr:rowOff>47625</xdr:rowOff>
    </xdr:from>
    <xdr:to>
      <xdr:col>21</xdr:col>
      <xdr:colOff>266700</xdr:colOff>
      <xdr:row>28</xdr:row>
      <xdr:rowOff>9525</xdr:rowOff>
    </xdr:to>
    <xdr:graphicFrame>
      <xdr:nvGraphicFramePr>
        <xdr:cNvPr id="1" name="Chart 6"/>
        <xdr:cNvGraphicFramePr/>
      </xdr:nvGraphicFramePr>
      <xdr:xfrm>
        <a:off x="8610600" y="2514600"/>
        <a:ext cx="7781925" cy="316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matechange.gov.au/en/publications/greenhouse-acctg/~/media/publications/greenhouse-acctg/NationalInventoryReport-2010-Vol-1.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8"/>
  <sheetViews>
    <sheetView showGridLines="0" tabSelected="1" zoomScale="80" zoomScaleNormal="80" zoomScalePageLayoutView="0" workbookViewId="0" topLeftCell="A1">
      <selection activeCell="A1" sqref="A1"/>
    </sheetView>
  </sheetViews>
  <sheetFormatPr defaultColWidth="0" defaultRowHeight="12.75" zeroHeight="1"/>
  <cols>
    <col min="1" max="1" width="2.421875" style="5" customWidth="1"/>
    <col min="2" max="2" width="143.28125" style="5" customWidth="1"/>
    <col min="3" max="16384" width="0" style="5" hidden="1" customWidth="1"/>
  </cols>
  <sheetData>
    <row r="1" ht="31.5" customHeight="1" thickBot="1">
      <c r="B1" s="428" t="s">
        <v>529</v>
      </c>
    </row>
    <row r="2" s="429" customFormat="1" ht="111" thickBot="1">
      <c r="B2" s="429" t="s">
        <v>481</v>
      </c>
    </row>
    <row r="3" spans="1:2" ht="24.75" customHeight="1" thickBot="1">
      <c r="A3" s="4"/>
      <c r="B3" s="6" t="s">
        <v>16</v>
      </c>
    </row>
    <row r="4" spans="1:2" ht="37.5">
      <c r="A4" s="4"/>
      <c r="B4" s="7" t="s">
        <v>134</v>
      </c>
    </row>
    <row r="5" spans="1:2" ht="75">
      <c r="A5" s="4"/>
      <c r="B5" s="8" t="s">
        <v>463</v>
      </c>
    </row>
    <row r="6" spans="1:2" ht="37.5">
      <c r="A6" s="4"/>
      <c r="B6" s="8" t="s">
        <v>145</v>
      </c>
    </row>
    <row r="7" spans="1:2" ht="18.75">
      <c r="A7" s="4"/>
      <c r="B7" s="423" t="s">
        <v>144</v>
      </c>
    </row>
    <row r="8" spans="1:2" ht="18.75">
      <c r="A8" s="4"/>
      <c r="B8" s="8" t="s">
        <v>414</v>
      </c>
    </row>
    <row r="9" spans="1:2" ht="18.75">
      <c r="A9" s="4"/>
      <c r="B9" s="8"/>
    </row>
    <row r="10" spans="1:2" ht="20.25">
      <c r="A10" s="4"/>
      <c r="B10" s="9" t="s">
        <v>19</v>
      </c>
    </row>
    <row r="11" spans="1:2" ht="20.25">
      <c r="A11" s="4"/>
      <c r="B11" s="9" t="s">
        <v>20</v>
      </c>
    </row>
    <row r="12" spans="1:2" ht="20.25">
      <c r="A12" s="4"/>
      <c r="B12" s="9" t="s">
        <v>123</v>
      </c>
    </row>
    <row r="13" spans="1:2" ht="18.75">
      <c r="A13" s="4"/>
      <c r="B13" s="9"/>
    </row>
    <row r="14" spans="1:2" ht="19.5" thickBot="1">
      <c r="A14" s="4"/>
      <c r="B14" s="8"/>
    </row>
    <row r="15" spans="1:2" ht="33" customHeight="1" thickBot="1">
      <c r="A15" s="4"/>
      <c r="B15" s="424" t="s">
        <v>466</v>
      </c>
    </row>
    <row r="16" spans="1:2" ht="75">
      <c r="A16" s="4"/>
      <c r="B16" s="316" t="s">
        <v>464</v>
      </c>
    </row>
    <row r="17" spans="1:2" ht="168.75">
      <c r="A17" s="4"/>
      <c r="B17" s="316" t="s">
        <v>465</v>
      </c>
    </row>
    <row r="18" spans="1:2" ht="78" customHeight="1">
      <c r="A18" s="4"/>
      <c r="B18" s="316" t="s">
        <v>467</v>
      </c>
    </row>
    <row r="19" spans="1:2" ht="80.25" customHeight="1">
      <c r="A19" s="4"/>
      <c r="B19" s="316" t="s">
        <v>474</v>
      </c>
    </row>
    <row r="20" spans="1:2" ht="75" customHeight="1">
      <c r="A20" s="4"/>
      <c r="B20" s="316" t="s">
        <v>468</v>
      </c>
    </row>
    <row r="21" spans="1:2" s="331" customFormat="1" ht="21.75" customHeight="1" thickBot="1">
      <c r="A21" s="64"/>
      <c r="B21" s="330"/>
    </row>
    <row r="22" spans="1:2" ht="39" customHeight="1" thickBot="1">
      <c r="A22" s="4"/>
      <c r="B22" s="424" t="s">
        <v>469</v>
      </c>
    </row>
    <row r="23" spans="1:2" ht="18.75">
      <c r="A23" s="4"/>
      <c r="B23" s="327" t="s">
        <v>470</v>
      </c>
    </row>
    <row r="24" spans="1:2" ht="19.5" customHeight="1">
      <c r="A24" s="4"/>
      <c r="B24" s="328" t="s">
        <v>435</v>
      </c>
    </row>
    <row r="25" spans="1:2" ht="21" customHeight="1">
      <c r="A25" s="4"/>
      <c r="B25" s="328" t="s">
        <v>434</v>
      </c>
    </row>
    <row r="26" spans="1:2" ht="18.75">
      <c r="A26" s="4"/>
      <c r="B26" s="329"/>
    </row>
    <row r="27" spans="1:2" ht="112.5">
      <c r="A27" s="4"/>
      <c r="B27" s="328" t="s">
        <v>499</v>
      </c>
    </row>
    <row r="28" spans="1:2" ht="121.5" customHeight="1">
      <c r="A28" s="4"/>
      <c r="B28" s="328" t="s">
        <v>471</v>
      </c>
    </row>
    <row r="29" spans="1:2" ht="9.75" customHeight="1">
      <c r="A29" s="4"/>
      <c r="B29" s="328"/>
    </row>
    <row r="30" spans="1:2" ht="24.75" customHeight="1" thickBot="1">
      <c r="A30" s="4"/>
      <c r="B30" s="10"/>
    </row>
    <row r="31" spans="1:2" ht="39" customHeight="1" thickBot="1">
      <c r="A31" s="4"/>
      <c r="B31" s="424" t="s">
        <v>472</v>
      </c>
    </row>
    <row r="32" spans="1:2" ht="37.5">
      <c r="A32" s="4"/>
      <c r="B32" s="327" t="s">
        <v>473</v>
      </c>
    </row>
    <row r="33" spans="1:2" ht="18.75">
      <c r="A33" s="4"/>
      <c r="B33" s="329"/>
    </row>
    <row r="34" spans="1:2" s="331" customFormat="1" ht="19.5" thickBot="1">
      <c r="A34" s="64"/>
      <c r="B34" s="326"/>
    </row>
    <row r="35" spans="1:2" ht="36" customHeight="1" thickBot="1">
      <c r="A35" s="4"/>
      <c r="B35" s="424" t="s">
        <v>436</v>
      </c>
    </row>
    <row r="36" spans="1:2" ht="78" customHeight="1" thickBot="1">
      <c r="A36" s="4"/>
      <c r="B36" s="459" t="s">
        <v>437</v>
      </c>
    </row>
    <row r="37" spans="1:2" ht="18.75" hidden="1">
      <c r="A37" s="4"/>
      <c r="B37" s="11"/>
    </row>
    <row r="38" spans="1:2" ht="18.75" hidden="1">
      <c r="A38" s="4"/>
      <c r="B38" s="11"/>
    </row>
    <row r="39" spans="1:2" ht="18.75" hidden="1">
      <c r="A39" s="4"/>
      <c r="B39" s="11"/>
    </row>
    <row r="40" spans="1:2" ht="18.75" hidden="1">
      <c r="A40" s="4"/>
      <c r="B40" s="11"/>
    </row>
    <row r="41" spans="1:2" ht="18.75" hidden="1">
      <c r="A41" s="4"/>
      <c r="B41" s="11"/>
    </row>
    <row r="42" spans="1:2" ht="18.75" hidden="1">
      <c r="A42" s="4"/>
      <c r="B42" s="11"/>
    </row>
    <row r="43" spans="1:2" ht="18.75" hidden="1">
      <c r="A43" s="4"/>
      <c r="B43" s="11"/>
    </row>
    <row r="44" spans="1:2" ht="18.75" hidden="1">
      <c r="A44" s="4"/>
      <c r="B44" s="11"/>
    </row>
    <row r="45" spans="1:2" ht="18.75" hidden="1">
      <c r="A45" s="4"/>
      <c r="B45" s="11"/>
    </row>
    <row r="46" spans="1:2" ht="18.75" hidden="1">
      <c r="A46" s="4"/>
      <c r="B46" s="11"/>
    </row>
    <row r="47" spans="1:2" ht="18.75" hidden="1">
      <c r="A47" s="4"/>
      <c r="B47" s="11"/>
    </row>
    <row r="48" spans="1:2" ht="18.75" hidden="1">
      <c r="A48" s="4"/>
      <c r="B48" s="11"/>
    </row>
    <row r="49" spans="1:2" ht="18.75" hidden="1">
      <c r="A49" s="4"/>
      <c r="B49" s="11"/>
    </row>
    <row r="50" spans="1:2" ht="18.75" hidden="1">
      <c r="A50" s="4"/>
      <c r="B50" s="11"/>
    </row>
    <row r="51" spans="1:2" ht="18.75" hidden="1">
      <c r="A51" s="4"/>
      <c r="B51" s="11"/>
    </row>
    <row r="52" spans="1:2" ht="18.75" hidden="1">
      <c r="A52" s="4"/>
      <c r="B52" s="11"/>
    </row>
    <row r="53" spans="1:2" ht="18.75" hidden="1">
      <c r="A53" s="4"/>
      <c r="B53" s="11"/>
    </row>
    <row r="54" spans="1:2" ht="18.75" hidden="1">
      <c r="A54" s="4"/>
      <c r="B54" s="11"/>
    </row>
    <row r="55" spans="1:2" ht="18.75" hidden="1">
      <c r="A55" s="4"/>
      <c r="B55" s="11"/>
    </row>
    <row r="56" spans="1:2" ht="18.75" hidden="1">
      <c r="A56" s="4"/>
      <c r="B56" s="11"/>
    </row>
    <row r="57" spans="1:2" ht="18.75" hidden="1">
      <c r="A57" s="4"/>
      <c r="B57" s="11"/>
    </row>
    <row r="58" spans="1:2" ht="18.75" hidden="1">
      <c r="A58" s="4"/>
      <c r="B58" s="11"/>
    </row>
    <row r="59" spans="1:2" ht="18.75" hidden="1">
      <c r="A59" s="4"/>
      <c r="B59" s="11"/>
    </row>
    <row r="60" spans="1:2" ht="18.75" hidden="1">
      <c r="A60" s="4"/>
      <c r="B60" s="11"/>
    </row>
    <row r="61" spans="1:2" ht="18.75" hidden="1">
      <c r="A61" s="4"/>
      <c r="B61" s="11"/>
    </row>
    <row r="62" spans="1:2" ht="18.75" hidden="1">
      <c r="A62" s="4"/>
      <c r="B62" s="11"/>
    </row>
    <row r="63" spans="1:2" ht="18.75" hidden="1">
      <c r="A63" s="4"/>
      <c r="B63" s="11"/>
    </row>
    <row r="64" spans="1:2" ht="18.75" hidden="1">
      <c r="A64" s="4"/>
      <c r="B64" s="11"/>
    </row>
    <row r="65" spans="1:2" ht="18.75" hidden="1">
      <c r="A65" s="4"/>
      <c r="B65" s="11"/>
    </row>
    <row r="66" spans="1:2" ht="18.75" hidden="1">
      <c r="A66" s="4"/>
      <c r="B66" s="11"/>
    </row>
    <row r="67" spans="1:2" ht="18.75" hidden="1">
      <c r="A67" s="4"/>
      <c r="B67" s="11"/>
    </row>
    <row r="68" spans="1:2" ht="18.75" hidden="1">
      <c r="A68" s="4"/>
      <c r="B68" s="11"/>
    </row>
    <row r="69" spans="1:2" ht="18.75" hidden="1">
      <c r="A69" s="4"/>
      <c r="B69" s="11"/>
    </row>
    <row r="70" spans="1:2" ht="18.75" hidden="1">
      <c r="A70" s="4"/>
      <c r="B70" s="11"/>
    </row>
    <row r="71" spans="1:2" ht="18.75" hidden="1">
      <c r="A71" s="4"/>
      <c r="B71" s="11"/>
    </row>
    <row r="72" spans="1:2" ht="18.75" hidden="1">
      <c r="A72" s="4"/>
      <c r="B72" s="11"/>
    </row>
    <row r="73" spans="1:2" ht="18.75" hidden="1">
      <c r="A73" s="4"/>
      <c r="B73" s="11"/>
    </row>
    <row r="74" spans="1:2" ht="18.75" hidden="1">
      <c r="A74" s="4"/>
      <c r="B74" s="11"/>
    </row>
    <row r="75" spans="1:2" ht="18.75" hidden="1">
      <c r="A75" s="4"/>
      <c r="B75" s="11"/>
    </row>
    <row r="76" spans="1:2" ht="18.75" hidden="1">
      <c r="A76" s="4"/>
      <c r="B76" s="11"/>
    </row>
    <row r="77" spans="1:2" ht="18.75" hidden="1">
      <c r="A77" s="4"/>
      <c r="B77" s="11"/>
    </row>
    <row r="78" spans="1:2" ht="18.75" hidden="1">
      <c r="A78" s="4"/>
      <c r="B78" s="11"/>
    </row>
    <row r="79" spans="1:2" ht="18.75" hidden="1">
      <c r="A79" s="4"/>
      <c r="B79" s="11"/>
    </row>
    <row r="80" spans="1:2" ht="18.75" hidden="1">
      <c r="A80" s="4"/>
      <c r="B80" s="11"/>
    </row>
    <row r="81" spans="1:2" ht="18.75" hidden="1">
      <c r="A81" s="4"/>
      <c r="B81" s="11"/>
    </row>
    <row r="82" spans="1:2" ht="18.75" hidden="1">
      <c r="A82" s="4"/>
      <c r="B82" s="11"/>
    </row>
    <row r="83" spans="1:2" ht="18.75" hidden="1">
      <c r="A83" s="4"/>
      <c r="B83" s="11"/>
    </row>
    <row r="84" spans="1:2" ht="18.75" hidden="1">
      <c r="A84" s="4"/>
      <c r="B84" s="11"/>
    </row>
    <row r="85" spans="1:2" ht="18.75" hidden="1">
      <c r="A85" s="4"/>
      <c r="B85" s="11"/>
    </row>
    <row r="86" spans="1:2" ht="18.75" hidden="1">
      <c r="A86" s="4"/>
      <c r="B86" s="11"/>
    </row>
    <row r="87" spans="1:2" ht="18.75" hidden="1">
      <c r="A87" s="4"/>
      <c r="B87" s="11"/>
    </row>
    <row r="88" spans="1:2" ht="18.75" hidden="1">
      <c r="A88" s="4"/>
      <c r="B88" s="11"/>
    </row>
    <row r="89" spans="1:2" ht="18.75" hidden="1">
      <c r="A89" s="4"/>
      <c r="B89" s="11"/>
    </row>
    <row r="90" spans="1:2" ht="18.75" hidden="1">
      <c r="A90" s="4"/>
      <c r="B90" s="11"/>
    </row>
    <row r="91" spans="1:2" ht="18.75" hidden="1">
      <c r="A91" s="4"/>
      <c r="B91" s="11"/>
    </row>
    <row r="92" spans="1:2" ht="18.75" hidden="1">
      <c r="A92" s="4"/>
      <c r="B92" s="11"/>
    </row>
    <row r="93" spans="1:2" ht="18.75" hidden="1">
      <c r="A93" s="4"/>
      <c r="B93" s="11"/>
    </row>
    <row r="94" spans="1:2" ht="18.75" hidden="1">
      <c r="A94" s="4"/>
      <c r="B94" s="11"/>
    </row>
    <row r="95" spans="1:2" ht="18.75" hidden="1">
      <c r="A95" s="4"/>
      <c r="B95" s="11"/>
    </row>
    <row r="96" spans="1:2" ht="18.75" hidden="1">
      <c r="A96" s="4"/>
      <c r="B96" s="11"/>
    </row>
    <row r="97" spans="1:2" ht="18.75" hidden="1">
      <c r="A97" s="4"/>
      <c r="B97" s="11"/>
    </row>
    <row r="98" spans="1:2" ht="18.75" hidden="1">
      <c r="A98" s="4"/>
      <c r="B98" s="11"/>
    </row>
    <row r="99" ht="18"/>
    <row r="100" ht="18" hidden="1"/>
    <row r="101" ht="18" hidden="1"/>
    <row r="102" ht="18" hidden="1"/>
    <row r="103" ht="18" hidden="1"/>
    <row r="104" ht="18" hidden="1"/>
    <row r="105" ht="18" hidden="1"/>
    <row r="106" ht="18" hidden="1"/>
    <row r="107" ht="18" hidden="1"/>
    <row r="108" ht="18" hidden="1"/>
    <row r="109" ht="18" hidden="1"/>
    <row r="110" ht="18" hidden="1"/>
    <row r="111" ht="18" hidden="1"/>
    <row r="112" ht="18" hidden="1"/>
    <row r="113" ht="18" hidden="1"/>
    <row r="114" ht="18" hidden="1"/>
    <row r="115" ht="18" hidden="1"/>
    <row r="116" ht="18" hidden="1"/>
    <row r="117" ht="18" hidden="1"/>
    <row r="118" ht="18" hidden="1"/>
    <row r="119" ht="18" hidden="1"/>
    <row r="120" ht="18" hidden="1"/>
    <row r="121" ht="18" hidden="1"/>
    <row r="122" ht="18" hidden="1"/>
    <row r="123" ht="18" hidden="1"/>
    <row r="124" ht="18" hidden="1"/>
    <row r="125" ht="18" hidden="1"/>
    <row r="126" ht="18" hidden="1"/>
    <row r="127" ht="18" hidden="1"/>
    <row r="128" ht="18" hidden="1"/>
    <row r="129" ht="18" hidden="1"/>
    <row r="130" ht="18" hidden="1"/>
    <row r="131" ht="18" hidden="1"/>
    <row r="132" ht="18" hidden="1"/>
    <row r="133" ht="18" hidden="1"/>
    <row r="134" ht="18" hidden="1"/>
    <row r="135" ht="18" hidden="1"/>
    <row r="136" ht="18" hidden="1"/>
    <row r="137" ht="18" hidden="1"/>
    <row r="138" ht="18" hidden="1"/>
    <row r="139" ht="18" hidden="1"/>
    <row r="140" ht="18" hidden="1"/>
    <row r="141" ht="18" hidden="1"/>
    <row r="142" ht="18" hidden="1"/>
    <row r="143" ht="18" hidden="1"/>
    <row r="144" ht="18" hidden="1"/>
    <row r="145" ht="18" hidden="1"/>
    <row r="146" ht="18" hidden="1"/>
    <row r="147" ht="18" hidden="1"/>
    <row r="148" ht="18" hidden="1"/>
    <row r="149" ht="18" hidden="1"/>
    <row r="150" ht="18" hidden="1"/>
    <row r="151" ht="18" hidden="1"/>
    <row r="152" ht="18" hidden="1"/>
    <row r="153" ht="18" hidden="1"/>
  </sheetData>
  <sheetProtection sheet="1"/>
  <hyperlinks>
    <hyperlink ref="B10" location="Intro!B20" tooltip="Click this link to read more about Methane" display="     - Methane (CH4)"/>
    <hyperlink ref="B11" location="Intro!B40" tooltip="Click this link to read more about Nitrous Oxide" display="     - Nitrous oxide (N2O)"/>
    <hyperlink ref="B12" location="Intro!B49" tooltip="Click this link to read more about Carbon Dioxide" display="     - Carbon dioxide (CO2)"/>
    <hyperlink ref="B7" r:id="rId1" display="http://www.climatechange.gov.au/en/publications/greenhouse-acctg/~/media/publications/greenhouse-acctg/NationalInventoryReport-2010-Vol-1.pdf"/>
  </hyperlinks>
  <printOptions/>
  <pageMargins left="0.75" right="0.75" top="1" bottom="1"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B1:Q45"/>
  <sheetViews>
    <sheetView showGridLines="0" defaultGridColor="0" zoomScale="80" zoomScaleNormal="80" zoomScalePageLayoutView="0" colorId="8" workbookViewId="0" topLeftCell="A1">
      <selection activeCell="D10" sqref="D10"/>
    </sheetView>
  </sheetViews>
  <sheetFormatPr defaultColWidth="0" defaultRowHeight="12.75" zeroHeight="1"/>
  <cols>
    <col min="1" max="1" width="1.28515625" style="361" customWidth="1"/>
    <col min="2" max="2" width="28.28125" style="362" customWidth="1"/>
    <col min="3" max="3" width="13.421875" style="362" customWidth="1"/>
    <col min="4" max="4" width="12.28125" style="362" customWidth="1"/>
    <col min="5" max="5" width="10.7109375" style="362" customWidth="1"/>
    <col min="6" max="6" width="12.00390625" style="362" customWidth="1"/>
    <col min="7" max="7" width="10.28125" style="362" customWidth="1"/>
    <col min="8" max="8" width="10.57421875" style="362" bestFit="1" customWidth="1"/>
    <col min="9" max="9" width="8.421875" style="362" customWidth="1"/>
    <col min="10" max="10" width="1.8515625" style="362" customWidth="1"/>
    <col min="11" max="11" width="28.140625" style="362" customWidth="1"/>
    <col min="12" max="12" width="12.7109375" style="362" bestFit="1" customWidth="1"/>
    <col min="13" max="14" width="12.28125" style="362" customWidth="1"/>
    <col min="15" max="15" width="2.8515625" style="362" customWidth="1"/>
    <col min="16" max="16384" width="0" style="362" hidden="1" customWidth="1"/>
  </cols>
  <sheetData>
    <row r="1" spans="2:8" s="361" customFormat="1" ht="30.75" customHeight="1">
      <c r="B1" s="509" t="s">
        <v>530</v>
      </c>
      <c r="C1" s="509"/>
      <c r="D1" s="509"/>
      <c r="E1" s="509"/>
      <c r="F1" s="509"/>
      <c r="G1" s="509"/>
      <c r="H1" s="509"/>
    </row>
    <row r="2" spans="2:17" ht="15">
      <c r="B2" s="437" t="s">
        <v>494</v>
      </c>
      <c r="I2" s="363"/>
      <c r="J2" s="363"/>
      <c r="K2" s="363"/>
      <c r="L2" s="363"/>
      <c r="M2" s="363"/>
      <c r="N2" s="363"/>
      <c r="O2" s="361"/>
      <c r="P2" s="361"/>
      <c r="Q2" s="361"/>
    </row>
    <row r="3" spans="2:17" ht="17.25">
      <c r="B3" s="439" t="s">
        <v>82</v>
      </c>
      <c r="C3" s="508" t="str">
        <f>'Data input'!H1</f>
        <v>Joe Bloggs</v>
      </c>
      <c r="D3" s="508"/>
      <c r="E3" s="384"/>
      <c r="F3" s="384"/>
      <c r="G3" s="384"/>
      <c r="H3" s="384"/>
      <c r="I3" s="385"/>
      <c r="K3" s="377" t="s">
        <v>80</v>
      </c>
      <c r="L3" s="378" t="s">
        <v>483</v>
      </c>
      <c r="M3" s="460" t="s">
        <v>96</v>
      </c>
      <c r="N3" s="378" t="s">
        <v>483</v>
      </c>
      <c r="P3" s="361"/>
      <c r="Q3" s="361"/>
    </row>
    <row r="4" spans="2:17" ht="18" customHeight="1">
      <c r="B4" s="440" t="s">
        <v>1</v>
      </c>
      <c r="C4" s="426">
        <f>'Data input'!L4</f>
        <v>1</v>
      </c>
      <c r="D4" s="372" t="str">
        <f>VLOOKUP(C4,'Manure management'!A24:B30,2)</f>
        <v>NSW/ACT</v>
      </c>
      <c r="E4" s="372"/>
      <c r="F4" s="372"/>
      <c r="G4" s="386"/>
      <c r="H4" s="386"/>
      <c r="I4" s="387"/>
      <c r="K4" s="370" t="s">
        <v>493</v>
      </c>
      <c r="L4" s="382">
        <f>'Electicity &amp; Diesel'!C34</f>
        <v>88.10637252000001</v>
      </c>
      <c r="M4" s="372" t="s">
        <v>484</v>
      </c>
      <c r="N4" s="373">
        <f>SUM(L4)</f>
        <v>88.10637252000001</v>
      </c>
      <c r="P4" s="361"/>
      <c r="Q4" s="361"/>
    </row>
    <row r="5" spans="2:17" ht="16.5">
      <c r="B5" s="439" t="s">
        <v>498</v>
      </c>
      <c r="C5" s="438" t="str">
        <f>'Data input'!C60</f>
        <v>Lagoon</v>
      </c>
      <c r="D5" s="438" t="str">
        <f>'Data input'!D60</f>
        <v>Liquid/Slurry</v>
      </c>
      <c r="E5" s="438" t="str">
        <f>'Data input'!E60</f>
        <v>Daily spread</v>
      </c>
      <c r="F5" s="438" t="str">
        <f>'Data input'!F60</f>
        <v>Solid storage</v>
      </c>
      <c r="G5" s="438" t="str">
        <f>'Data input'!G60</f>
        <v>Drylot</v>
      </c>
      <c r="H5" s="438" t="str">
        <f>'Data input'!H60</f>
        <v>Digester</v>
      </c>
      <c r="I5" s="467" t="str">
        <f>'Data input'!I60</f>
        <v>Pasture</v>
      </c>
      <c r="K5" s="370" t="s">
        <v>487</v>
      </c>
      <c r="L5" s="382">
        <f>'Enteric fermentation'!L55</f>
        <v>686.0730276484262</v>
      </c>
      <c r="M5" s="372" t="s">
        <v>485</v>
      </c>
      <c r="N5" s="373">
        <f>SUM(L5:L6)</f>
        <v>767.3863779458413</v>
      </c>
      <c r="P5" s="361"/>
      <c r="Q5" s="361"/>
    </row>
    <row r="6" spans="2:17" ht="16.5">
      <c r="B6" s="441" t="s">
        <v>495</v>
      </c>
      <c r="C6" s="392">
        <f>'Data input'!C61</f>
        <v>6</v>
      </c>
      <c r="D6" s="392">
        <f>'Data input'!D61</f>
        <v>0.5</v>
      </c>
      <c r="E6" s="392">
        <f>'Data input'!E61</f>
        <v>1.5</v>
      </c>
      <c r="F6" s="392">
        <f>'Data input'!F61</f>
        <v>0</v>
      </c>
      <c r="G6" s="392">
        <f>'Data input'!G61</f>
        <v>0</v>
      </c>
      <c r="H6" s="392">
        <f>'Data input'!H61</f>
        <v>0</v>
      </c>
      <c r="I6" s="393">
        <f>'Data input'!I61</f>
        <v>92</v>
      </c>
      <c r="K6" s="370" t="s">
        <v>491</v>
      </c>
      <c r="L6" s="382">
        <f>'Manure management'!C50</f>
        <v>81.31335029741517</v>
      </c>
      <c r="M6" s="376" t="s">
        <v>486</v>
      </c>
      <c r="N6" s="497">
        <f>SUM(L7:L10)</f>
        <v>224.38805864607752</v>
      </c>
      <c r="P6" s="361"/>
      <c r="Q6" s="361"/>
    </row>
    <row r="7" spans="2:17" ht="16.5">
      <c r="B7" s="442" t="s">
        <v>496</v>
      </c>
      <c r="C7" s="394">
        <f>'Data input'!C62</f>
        <v>0</v>
      </c>
      <c r="D7" s="394">
        <f>'Data input'!D62</f>
        <v>0</v>
      </c>
      <c r="E7" s="394">
        <f>'Data input'!E62</f>
        <v>0</v>
      </c>
      <c r="F7" s="394">
        <f>'Data input'!F62</f>
        <v>0</v>
      </c>
      <c r="G7" s="394">
        <f>'Data input'!G62</f>
        <v>0</v>
      </c>
      <c r="H7" s="394">
        <f>'Data input'!H62</f>
        <v>0</v>
      </c>
      <c r="I7" s="395">
        <f>'Data input'!I62</f>
        <v>100</v>
      </c>
      <c r="K7" s="370" t="s">
        <v>492</v>
      </c>
      <c r="L7" s="382">
        <f>'Nitrous oxide MMS'!L113</f>
        <v>0.8017242766741739</v>
      </c>
      <c r="M7" s="495"/>
      <c r="N7" s="495"/>
      <c r="O7" s="496"/>
      <c r="P7" s="361"/>
      <c r="Q7" s="361"/>
    </row>
    <row r="8" spans="2:17" ht="16.5">
      <c r="B8" s="443" t="s">
        <v>83</v>
      </c>
      <c r="C8" s="465" t="s">
        <v>57</v>
      </c>
      <c r="D8" s="465" t="s">
        <v>51</v>
      </c>
      <c r="E8" s="465" t="s">
        <v>52</v>
      </c>
      <c r="F8" s="465" t="s">
        <v>7</v>
      </c>
      <c r="G8" s="465" t="s">
        <v>8</v>
      </c>
      <c r="H8" s="498" t="s">
        <v>59</v>
      </c>
      <c r="I8" s="385"/>
      <c r="K8" s="370" t="s">
        <v>488</v>
      </c>
      <c r="L8" s="382">
        <f>'Agricultural soils'!C49</f>
        <v>38.72785714285715</v>
      </c>
      <c r="M8" s="495"/>
      <c r="N8" s="495"/>
      <c r="O8" s="496"/>
      <c r="P8" s="361"/>
      <c r="Q8" s="361"/>
    </row>
    <row r="9" spans="2:17" ht="16.5">
      <c r="B9" s="444" t="s">
        <v>68</v>
      </c>
      <c r="C9" s="396">
        <f>'Data input'!D9</f>
        <v>200</v>
      </c>
      <c r="D9" s="396">
        <f>'Data input'!E9</f>
        <v>40</v>
      </c>
      <c r="E9" s="396">
        <f>'Data input'!F9</f>
        <v>40</v>
      </c>
      <c r="F9" s="396">
        <f>'Data input'!G9</f>
        <v>2</v>
      </c>
      <c r="G9" s="396">
        <f>'Data input'!H9</f>
        <v>0</v>
      </c>
      <c r="H9" s="499" t="s">
        <v>296</v>
      </c>
      <c r="I9" s="393"/>
      <c r="K9" s="370" t="s">
        <v>489</v>
      </c>
      <c r="L9" s="382">
        <f>'Agricultural soils'!C249</f>
        <v>124.30257514617232</v>
      </c>
      <c r="M9" s="495"/>
      <c r="N9" s="495"/>
      <c r="O9" s="496"/>
      <c r="P9" s="361"/>
      <c r="Q9" s="361"/>
    </row>
    <row r="10" spans="2:17" ht="16.5">
      <c r="B10" s="445" t="s">
        <v>149</v>
      </c>
      <c r="C10" s="388">
        <f>'Data input'!D15</f>
        <v>546.25</v>
      </c>
      <c r="D10" s="388">
        <f>'Data input'!E15</f>
        <v>200</v>
      </c>
      <c r="E10" s="388">
        <f>'Data input'!F15</f>
        <v>100</v>
      </c>
      <c r="F10" s="388">
        <f>'Data input'!G15</f>
        <v>600</v>
      </c>
      <c r="G10" s="388">
        <f>'Data input'!H15</f>
        <v>0</v>
      </c>
      <c r="H10" s="500" t="s">
        <v>69</v>
      </c>
      <c r="I10" s="387"/>
      <c r="K10" s="370" t="s">
        <v>490</v>
      </c>
      <c r="L10" s="382">
        <f>'Agricultural soils'!C154</f>
        <v>60.555902080373905</v>
      </c>
      <c r="M10" s="495"/>
      <c r="N10" s="495"/>
      <c r="O10" s="496"/>
      <c r="P10" s="361"/>
      <c r="Q10" s="361"/>
    </row>
    <row r="11" spans="2:17" ht="15">
      <c r="B11" s="440" t="s">
        <v>23</v>
      </c>
      <c r="C11" s="371">
        <f>'Data input'!D21</f>
        <v>-0.075</v>
      </c>
      <c r="D11" s="371">
        <f>'Data input'!E21</f>
        <v>1</v>
      </c>
      <c r="E11" s="371">
        <f>'Data input'!F21</f>
        <v>1</v>
      </c>
      <c r="F11" s="371">
        <f>'Data input'!G21</f>
        <v>0</v>
      </c>
      <c r="G11" s="371">
        <f>'Data input'!H21</f>
        <v>0</v>
      </c>
      <c r="H11" s="500" t="s">
        <v>24</v>
      </c>
      <c r="I11" s="387"/>
      <c r="K11" s="379" t="s">
        <v>128</v>
      </c>
      <c r="L11" s="381">
        <f>-1*Trees!F30*'Data summary'!C22</f>
        <v>-27.680625</v>
      </c>
      <c r="M11" s="495"/>
      <c r="N11" s="495"/>
      <c r="O11" s="496"/>
      <c r="P11" s="361"/>
      <c r="Q11" s="361"/>
    </row>
    <row r="12" spans="2:17" ht="12" customHeight="1">
      <c r="B12" s="440" t="s">
        <v>47</v>
      </c>
      <c r="C12" s="371">
        <f>'Data input'!D27</f>
        <v>15.75</v>
      </c>
      <c r="D12" s="371">
        <f>'Data input'!E27</f>
        <v>15.75</v>
      </c>
      <c r="E12" s="371">
        <f>'Data input'!F27</f>
        <v>15.75</v>
      </c>
      <c r="F12" s="371">
        <f>'Data input'!G27</f>
        <v>15.75</v>
      </c>
      <c r="G12" s="371">
        <f>'Data input'!H27</f>
        <v>15.75</v>
      </c>
      <c r="H12" s="500" t="s">
        <v>26</v>
      </c>
      <c r="I12" s="387"/>
      <c r="K12" s="374" t="s">
        <v>17</v>
      </c>
      <c r="L12" s="383">
        <f>SUM(L4:L11)</f>
        <v>1052.2001841119188</v>
      </c>
      <c r="M12" s="495"/>
      <c r="N12" s="495"/>
      <c r="O12" s="496"/>
      <c r="P12" s="361"/>
      <c r="Q12" s="361"/>
    </row>
    <row r="13" spans="2:17" ht="15" customHeight="1">
      <c r="B13" s="440" t="s">
        <v>150</v>
      </c>
      <c r="C13" s="371">
        <f>'Data input'!D33</f>
        <v>70.75</v>
      </c>
      <c r="D13" s="371">
        <f>'Data input'!E33</f>
        <v>70.75</v>
      </c>
      <c r="E13" s="371">
        <f>'Data input'!F33</f>
        <v>70.75</v>
      </c>
      <c r="F13" s="371">
        <f>'Data input'!G33</f>
        <v>70.75</v>
      </c>
      <c r="G13" s="371">
        <f>'Data input'!H33</f>
        <v>70.75</v>
      </c>
      <c r="H13" s="500" t="s">
        <v>26</v>
      </c>
      <c r="I13" s="387"/>
      <c r="J13" s="363"/>
      <c r="K13" s="363"/>
      <c r="L13" s="363"/>
      <c r="M13" s="363"/>
      <c r="N13" s="363"/>
      <c r="O13" s="361"/>
      <c r="P13" s="361"/>
      <c r="Q13" s="361"/>
    </row>
    <row r="14" spans="2:17" ht="15">
      <c r="B14" s="446" t="s">
        <v>152</v>
      </c>
      <c r="C14" s="375">
        <f>'Data input'!D39</f>
        <v>19.25</v>
      </c>
      <c r="D14" s="375">
        <f>'Data input'!E39</f>
        <v>0</v>
      </c>
      <c r="E14" s="375">
        <f>'Data input'!F39</f>
        <v>0</v>
      </c>
      <c r="F14" s="375">
        <f>'Data input'!G39</f>
        <v>0</v>
      </c>
      <c r="G14" s="375">
        <f>'Data input'!H39</f>
        <v>0</v>
      </c>
      <c r="H14" s="501" t="s">
        <v>49</v>
      </c>
      <c r="I14" s="395"/>
      <c r="J14" s="363"/>
      <c r="K14" s="363"/>
      <c r="L14" s="363"/>
      <c r="M14" s="363"/>
      <c r="N14" s="363"/>
      <c r="O14" s="361"/>
      <c r="P14" s="361"/>
      <c r="Q14" s="361"/>
    </row>
    <row r="15" spans="2:17" ht="15">
      <c r="B15" s="447" t="s">
        <v>135</v>
      </c>
      <c r="C15" s="380">
        <f>'Data input'!D45</f>
        <v>50</v>
      </c>
      <c r="D15" s="380"/>
      <c r="E15" s="380"/>
      <c r="F15" s="380"/>
      <c r="G15" s="380"/>
      <c r="H15" s="502" t="s">
        <v>95</v>
      </c>
      <c r="I15" s="393"/>
      <c r="J15" s="363"/>
      <c r="K15" s="363"/>
      <c r="L15" s="363"/>
      <c r="M15" s="363"/>
      <c r="N15" s="363"/>
      <c r="O15" s="361"/>
      <c r="P15" s="361"/>
      <c r="Q15" s="361"/>
    </row>
    <row r="16" spans="2:17" ht="15">
      <c r="B16" s="440" t="s">
        <v>136</v>
      </c>
      <c r="C16" s="386">
        <f>'Data input'!D51</f>
        <v>195</v>
      </c>
      <c r="D16" s="386"/>
      <c r="E16" s="386"/>
      <c r="F16" s="386"/>
      <c r="G16" s="386"/>
      <c r="H16" s="500" t="s">
        <v>95</v>
      </c>
      <c r="I16" s="387"/>
      <c r="J16" s="363"/>
      <c r="K16" s="363"/>
      <c r="L16" s="363"/>
      <c r="M16" s="363"/>
      <c r="N16" s="363"/>
      <c r="O16" s="361"/>
      <c r="P16" s="361"/>
      <c r="Q16" s="361"/>
    </row>
    <row r="17" spans="2:17" ht="15">
      <c r="B17" s="440" t="s">
        <v>84</v>
      </c>
      <c r="C17" s="386">
        <f>'Data input'!C53</f>
        <v>10</v>
      </c>
      <c r="D17" s="389"/>
      <c r="E17" s="389"/>
      <c r="F17" s="389"/>
      <c r="G17" s="389"/>
      <c r="H17" s="500" t="s">
        <v>86</v>
      </c>
      <c r="I17" s="387"/>
      <c r="J17" s="363"/>
      <c r="K17" s="363"/>
      <c r="L17" s="363"/>
      <c r="M17" s="363"/>
      <c r="N17" s="363"/>
      <c r="O17" s="361"/>
      <c r="P17" s="361"/>
      <c r="Q17" s="361"/>
    </row>
    <row r="18" spans="2:17" ht="15">
      <c r="B18" s="440" t="s">
        <v>85</v>
      </c>
      <c r="C18" s="386">
        <f>'Data input'!C54</f>
        <v>100</v>
      </c>
      <c r="D18" s="389"/>
      <c r="E18" s="389"/>
      <c r="F18" s="389"/>
      <c r="G18" s="389"/>
      <c r="H18" s="500" t="s">
        <v>86</v>
      </c>
      <c r="I18" s="387"/>
      <c r="J18" s="363"/>
      <c r="K18" s="363"/>
      <c r="L18" s="363"/>
      <c r="M18" s="363"/>
      <c r="N18" s="363"/>
      <c r="O18" s="361"/>
      <c r="P18" s="361"/>
      <c r="Q18" s="361"/>
    </row>
    <row r="19" spans="2:17" ht="15" customHeight="1">
      <c r="B19" s="440" t="s">
        <v>76</v>
      </c>
      <c r="C19" s="386">
        <f>'Data input'!C56</f>
        <v>10000</v>
      </c>
      <c r="D19" s="389"/>
      <c r="E19" s="386"/>
      <c r="F19" s="390"/>
      <c r="G19" s="390"/>
      <c r="H19" s="500" t="s">
        <v>74</v>
      </c>
      <c r="I19" s="387"/>
      <c r="J19" s="363"/>
      <c r="K19" s="363"/>
      <c r="L19" s="363"/>
      <c r="M19" s="363"/>
      <c r="N19" s="363"/>
      <c r="O19" s="361"/>
      <c r="P19" s="361"/>
      <c r="Q19" s="361"/>
    </row>
    <row r="20" spans="2:17" ht="14.25" customHeight="1">
      <c r="B20" s="446" t="s">
        <v>13</v>
      </c>
      <c r="C20" s="397">
        <f>'Data input'!C57</f>
        <v>43248</v>
      </c>
      <c r="D20" s="398"/>
      <c r="E20" s="397"/>
      <c r="F20" s="399"/>
      <c r="G20" s="399"/>
      <c r="H20" s="503" t="s">
        <v>75</v>
      </c>
      <c r="I20" s="395"/>
      <c r="J20" s="363"/>
      <c r="K20" s="363"/>
      <c r="L20" s="363"/>
      <c r="M20" s="363"/>
      <c r="N20" s="363"/>
      <c r="O20" s="361"/>
      <c r="P20" s="361"/>
      <c r="Q20" s="361"/>
    </row>
    <row r="21" spans="2:17" ht="15.75" customHeight="1">
      <c r="B21" s="440" t="s">
        <v>87</v>
      </c>
      <c r="C21" s="426">
        <f>'Data input'!L7</f>
        <v>2</v>
      </c>
      <c r="D21" s="372" t="str">
        <f>VLOOKUP(C21,'Electicity &amp; Diesel'!A38:B45,2)</f>
        <v>Brown Coal-Victorian </v>
      </c>
      <c r="E21" s="372"/>
      <c r="F21" s="372"/>
      <c r="G21" s="372"/>
      <c r="H21" s="372"/>
      <c r="I21" s="387"/>
      <c r="J21" s="363"/>
      <c r="K21" s="363"/>
      <c r="L21" s="363"/>
      <c r="M21" s="363"/>
      <c r="N21" s="363"/>
      <c r="O21" s="361"/>
      <c r="P21" s="361"/>
      <c r="Q21" s="361"/>
    </row>
    <row r="22" spans="2:17" ht="15" customHeight="1">
      <c r="B22" s="447" t="s">
        <v>125</v>
      </c>
      <c r="C22" s="380">
        <f>'Data input'!C58</f>
        <v>1</v>
      </c>
      <c r="D22" s="400"/>
      <c r="E22" s="380"/>
      <c r="F22" s="380"/>
      <c r="G22" s="380"/>
      <c r="H22" s="502" t="s">
        <v>86</v>
      </c>
      <c r="I22" s="393"/>
      <c r="J22" s="363"/>
      <c r="K22" s="363"/>
      <c r="L22" s="363"/>
      <c r="M22" s="363"/>
      <c r="N22" s="363"/>
      <c r="O22" s="361"/>
      <c r="P22" s="361"/>
      <c r="Q22" s="361"/>
    </row>
    <row r="23" spans="2:17" ht="17.25" customHeight="1">
      <c r="B23" s="440" t="s">
        <v>126</v>
      </c>
      <c r="C23" s="426">
        <f>'Data input'!L10</f>
        <v>3</v>
      </c>
      <c r="D23" s="372" t="str">
        <f>VLOOKUP(C23,Trees!A13:B26,2)</f>
        <v>Generic hardwood</v>
      </c>
      <c r="E23" s="372"/>
      <c r="F23" s="372"/>
      <c r="G23" s="372"/>
      <c r="H23" s="372"/>
      <c r="I23" s="387"/>
      <c r="J23" s="363"/>
      <c r="K23" s="363"/>
      <c r="L23" s="363"/>
      <c r="M23" s="363"/>
      <c r="N23" s="363"/>
      <c r="O23" s="361"/>
      <c r="P23" s="361"/>
      <c r="Q23" s="361"/>
    </row>
    <row r="24" spans="2:17" ht="15.75" customHeight="1">
      <c r="B24" s="446" t="s">
        <v>114</v>
      </c>
      <c r="C24" s="427">
        <f>'Data input'!L13</f>
        <v>2</v>
      </c>
      <c r="D24" s="376" t="str">
        <f>VLOOKUP(C24,Trees!A29:B31,2)</f>
        <v>Med (500 - 700)</v>
      </c>
      <c r="E24" s="376"/>
      <c r="F24" s="376"/>
      <c r="G24" s="376"/>
      <c r="H24" s="376"/>
      <c r="I24" s="391"/>
      <c r="J24" s="364"/>
      <c r="K24" s="364"/>
      <c r="L24" s="364"/>
      <c r="M24" s="364"/>
      <c r="N24" s="364"/>
      <c r="O24" s="361"/>
      <c r="P24" s="361"/>
      <c r="Q24" s="361"/>
    </row>
    <row r="25" spans="10:17" ht="16.5" customHeight="1">
      <c r="J25" s="365"/>
      <c r="K25" s="365"/>
      <c r="L25" s="365"/>
      <c r="M25" s="365"/>
      <c r="N25" s="365"/>
      <c r="O25" s="361"/>
      <c r="P25" s="361"/>
      <c r="Q25" s="361"/>
    </row>
    <row r="26" spans="9:17" ht="12.75">
      <c r="I26" s="365"/>
      <c r="J26" s="365"/>
      <c r="K26" s="365"/>
      <c r="L26" s="365"/>
      <c r="M26" s="365"/>
      <c r="N26" s="365"/>
      <c r="O26" s="361"/>
      <c r="P26" s="361"/>
      <c r="Q26" s="361"/>
    </row>
    <row r="27" spans="2:17" ht="12.75">
      <c r="B27" s="365"/>
      <c r="C27" s="365"/>
      <c r="D27" s="365"/>
      <c r="E27" s="365"/>
      <c r="F27" s="365"/>
      <c r="G27" s="365"/>
      <c r="H27" s="365"/>
      <c r="I27" s="365"/>
      <c r="J27" s="365"/>
      <c r="K27" s="365"/>
      <c r="L27" s="365"/>
      <c r="M27" s="365"/>
      <c r="N27" s="365"/>
      <c r="O27" s="361"/>
      <c r="P27" s="361"/>
      <c r="Q27" s="361"/>
    </row>
    <row r="28" spans="2:17" ht="15">
      <c r="B28" s="365"/>
      <c r="C28" s="365"/>
      <c r="D28" s="365"/>
      <c r="E28" s="365"/>
      <c r="F28" s="365"/>
      <c r="G28" s="365"/>
      <c r="H28" s="365"/>
      <c r="I28" s="365"/>
      <c r="J28" s="366"/>
      <c r="K28" s="366"/>
      <c r="L28" s="365"/>
      <c r="M28" s="365"/>
      <c r="N28" s="365"/>
      <c r="O28" s="361"/>
      <c r="P28" s="361"/>
      <c r="Q28" s="361"/>
    </row>
    <row r="29" spans="2:17" ht="15">
      <c r="B29" s="365"/>
      <c r="C29" s="365"/>
      <c r="D29" s="365"/>
      <c r="E29" s="365"/>
      <c r="F29" s="365"/>
      <c r="G29" s="366"/>
      <c r="H29" s="366"/>
      <c r="I29" s="366"/>
      <c r="M29" s="365"/>
      <c r="N29" s="365"/>
      <c r="O29" s="361"/>
      <c r="P29" s="361"/>
      <c r="Q29" s="361"/>
    </row>
    <row r="30" spans="2:9" s="361" customFormat="1" ht="12.75">
      <c r="B30" s="365"/>
      <c r="C30" s="365"/>
      <c r="D30" s="365"/>
      <c r="E30" s="365"/>
      <c r="F30" s="362"/>
      <c r="G30" s="362"/>
      <c r="H30" s="362"/>
      <c r="I30" s="362"/>
    </row>
    <row r="31" s="361" customFormat="1" ht="12.75">
      <c r="D31" s="367"/>
    </row>
    <row r="32" s="361" customFormat="1" ht="12.75"/>
    <row r="33" s="361" customFormat="1" ht="12.75" hidden="1">
      <c r="D33" s="367"/>
    </row>
    <row r="34" s="361" customFormat="1" ht="12.75" hidden="1">
      <c r="D34" s="368"/>
    </row>
    <row r="35" s="361" customFormat="1" ht="12.75" hidden="1">
      <c r="D35" s="368"/>
    </row>
    <row r="36" s="361" customFormat="1" ht="12.75" hidden="1">
      <c r="J36" s="369"/>
    </row>
    <row r="37" s="361" customFormat="1" ht="12.75" hidden="1"/>
    <row r="38" s="361" customFormat="1" ht="12.75" hidden="1"/>
    <row r="39" s="361" customFormat="1" ht="12.75" hidden="1"/>
    <row r="40" s="361" customFormat="1" ht="12.75" hidden="1"/>
    <row r="41" s="361" customFormat="1" ht="12.75" hidden="1"/>
    <row r="42" s="361" customFormat="1" ht="12.75" hidden="1"/>
    <row r="43" s="361" customFormat="1" ht="12.75" hidden="1"/>
    <row r="44" s="361" customFormat="1" ht="12.75" hidden="1"/>
    <row r="45" spans="2:9" ht="12.75" hidden="1">
      <c r="B45" s="361"/>
      <c r="C45" s="361"/>
      <c r="D45" s="361"/>
      <c r="E45" s="361"/>
      <c r="F45" s="361"/>
      <c r="G45" s="361"/>
      <c r="H45" s="361"/>
      <c r="I45" s="361"/>
    </row>
  </sheetData>
  <sheetProtection sheet="1"/>
  <mergeCells count="2">
    <mergeCell ref="C3:D3"/>
    <mergeCell ref="B1:H1"/>
  </mergeCells>
  <printOptions/>
  <pageMargins left="0.75" right="0.75" top="1" bottom="1" header="0.5" footer="0.5"/>
  <pageSetup fitToHeight="1" fitToWidth="1" horizontalDpi="300" verticalDpi="300" orientation="landscape" paperSize="9" scale="76" r:id="rId2"/>
  <drawing r:id="rId1"/>
</worksheet>
</file>

<file path=xl/worksheets/sheet3.xml><?xml version="1.0" encoding="utf-8"?>
<worksheet xmlns="http://schemas.openxmlformats.org/spreadsheetml/2006/main" xmlns:r="http://schemas.openxmlformats.org/officeDocument/2006/relationships">
  <dimension ref="B1:T63"/>
  <sheetViews>
    <sheetView showGridLines="0" zoomScale="80" zoomScaleNormal="80" zoomScalePageLayoutView="0" workbookViewId="0" topLeftCell="A1">
      <selection activeCell="H1" sqref="H1"/>
    </sheetView>
  </sheetViews>
  <sheetFormatPr defaultColWidth="8.8515625" defaultRowHeight="12.75"/>
  <cols>
    <col min="1" max="1" width="4.28125" style="12" customWidth="1"/>
    <col min="2" max="2" width="33.7109375" style="12" customWidth="1"/>
    <col min="3" max="3" width="8.8515625" style="12" customWidth="1"/>
    <col min="4" max="4" width="14.28125" style="12" customWidth="1"/>
    <col min="5" max="5" width="12.8515625" style="12" bestFit="1" customWidth="1"/>
    <col min="6" max="6" width="13.421875" style="12" bestFit="1" customWidth="1"/>
    <col min="7" max="7" width="14.00390625" style="12" customWidth="1"/>
    <col min="8" max="8" width="15.8515625" style="12" customWidth="1"/>
    <col min="9" max="9" width="11.7109375" style="12" customWidth="1"/>
    <col min="10" max="10" width="8.8515625" style="12" customWidth="1"/>
    <col min="11" max="11" width="14.421875" style="12" bestFit="1" customWidth="1"/>
    <col min="12" max="12" width="4.421875" style="12" customWidth="1"/>
    <col min="13" max="16384" width="8.8515625" style="12" customWidth="1"/>
  </cols>
  <sheetData>
    <row r="1" spans="2:9" ht="23.25" customHeight="1">
      <c r="B1" s="28" t="s">
        <v>303</v>
      </c>
      <c r="G1" s="13" t="s">
        <v>459</v>
      </c>
      <c r="H1" s="517" t="s">
        <v>18</v>
      </c>
      <c r="I1" s="506"/>
    </row>
    <row r="2" ht="14.25" customHeight="1">
      <c r="B2" s="28"/>
    </row>
    <row r="3" spans="2:11" ht="15.75">
      <c r="B3" s="435"/>
      <c r="C3" s="220"/>
      <c r="D3" s="219" t="s">
        <v>57</v>
      </c>
      <c r="E3" s="219" t="s">
        <v>51</v>
      </c>
      <c r="F3" s="219" t="s">
        <v>52</v>
      </c>
      <c r="G3" s="219" t="s">
        <v>527</v>
      </c>
      <c r="H3" s="219" t="s">
        <v>528</v>
      </c>
      <c r="I3" s="436" t="s">
        <v>59</v>
      </c>
      <c r="K3" s="111" t="s">
        <v>505</v>
      </c>
    </row>
    <row r="4" spans="2:12" ht="15.75">
      <c r="B4" s="401"/>
      <c r="C4" s="505" t="s">
        <v>304</v>
      </c>
      <c r="D4" s="402"/>
      <c r="E4" s="402"/>
      <c r="F4" s="402"/>
      <c r="G4" s="402"/>
      <c r="H4" s="402"/>
      <c r="I4" s="403"/>
      <c r="L4" s="466">
        <v>1</v>
      </c>
    </row>
    <row r="5" spans="2:11" ht="15.75">
      <c r="B5" s="404" t="s">
        <v>503</v>
      </c>
      <c r="C5" s="258" t="s">
        <v>297</v>
      </c>
      <c r="D5" s="448">
        <v>200</v>
      </c>
      <c r="E5" s="448">
        <v>40</v>
      </c>
      <c r="F5" s="448">
        <v>40</v>
      </c>
      <c r="G5" s="448">
        <v>2</v>
      </c>
      <c r="H5" s="448">
        <v>0</v>
      </c>
      <c r="I5" s="405" t="s">
        <v>296</v>
      </c>
      <c r="K5" s="165"/>
    </row>
    <row r="6" spans="2:11" ht="15.75">
      <c r="B6" s="406"/>
      <c r="C6" s="258" t="s">
        <v>298</v>
      </c>
      <c r="D6" s="448">
        <v>200</v>
      </c>
      <c r="E6" s="448">
        <v>40</v>
      </c>
      <c r="F6" s="448">
        <v>40</v>
      </c>
      <c r="G6" s="448">
        <v>2</v>
      </c>
      <c r="H6" s="448">
        <v>0</v>
      </c>
      <c r="I6" s="405" t="s">
        <v>296</v>
      </c>
      <c r="K6" s="14" t="s">
        <v>506</v>
      </c>
    </row>
    <row r="7" spans="2:12" ht="15.75">
      <c r="B7" s="406"/>
      <c r="C7" s="258" t="s">
        <v>299</v>
      </c>
      <c r="D7" s="448">
        <v>200</v>
      </c>
      <c r="E7" s="448">
        <v>40</v>
      </c>
      <c r="F7" s="448">
        <v>40</v>
      </c>
      <c r="G7" s="448">
        <v>2</v>
      </c>
      <c r="H7" s="448">
        <v>0</v>
      </c>
      <c r="I7" s="405" t="s">
        <v>296</v>
      </c>
      <c r="K7" s="165"/>
      <c r="L7" s="466">
        <v>2</v>
      </c>
    </row>
    <row r="8" spans="2:9" ht="15.75">
      <c r="B8" s="406"/>
      <c r="C8" s="258" t="s">
        <v>300</v>
      </c>
      <c r="D8" s="448">
        <v>200</v>
      </c>
      <c r="E8" s="448">
        <v>40</v>
      </c>
      <c r="F8" s="448">
        <v>40</v>
      </c>
      <c r="G8" s="448">
        <v>2</v>
      </c>
      <c r="H8" s="448">
        <v>0</v>
      </c>
      <c r="I8" s="405" t="s">
        <v>296</v>
      </c>
    </row>
    <row r="9" spans="2:11" ht="15.75">
      <c r="B9" s="407"/>
      <c r="C9" s="430" t="s">
        <v>301</v>
      </c>
      <c r="D9" s="430">
        <f>AVERAGE(D5:D8)</f>
        <v>200</v>
      </c>
      <c r="E9" s="430">
        <f>AVERAGE(E5:E8)</f>
        <v>40</v>
      </c>
      <c r="F9" s="430">
        <f>AVERAGE(F5:F8)</f>
        <v>40</v>
      </c>
      <c r="G9" s="430">
        <f>AVERAGE(G5:G8)</f>
        <v>2</v>
      </c>
      <c r="H9" s="430">
        <f>AVERAGE(H5:H8)</f>
        <v>0</v>
      </c>
      <c r="I9" s="431" t="s">
        <v>296</v>
      </c>
      <c r="K9" s="14" t="s">
        <v>507</v>
      </c>
    </row>
    <row r="10" spans="2:12" ht="15.75">
      <c r="B10" s="155"/>
      <c r="C10" s="155"/>
      <c r="D10" s="155"/>
      <c r="E10" s="155"/>
      <c r="F10" s="155"/>
      <c r="G10" s="155"/>
      <c r="H10" s="155"/>
      <c r="I10" s="155"/>
      <c r="L10" s="466">
        <v>3</v>
      </c>
    </row>
    <row r="11" spans="2:11" ht="15.75">
      <c r="B11" s="409" t="s">
        <v>124</v>
      </c>
      <c r="C11" s="402" t="s">
        <v>297</v>
      </c>
      <c r="D11" s="449">
        <v>500</v>
      </c>
      <c r="E11" s="449">
        <v>200</v>
      </c>
      <c r="F11" s="449">
        <v>100</v>
      </c>
      <c r="G11" s="449">
        <v>600</v>
      </c>
      <c r="H11" s="449">
        <v>0</v>
      </c>
      <c r="I11" s="403" t="s">
        <v>302</v>
      </c>
      <c r="K11" s="165"/>
    </row>
    <row r="12" spans="2:11" ht="15.75">
      <c r="B12" s="406"/>
      <c r="C12" s="258" t="s">
        <v>298</v>
      </c>
      <c r="D12" s="448">
        <v>640</v>
      </c>
      <c r="E12" s="448">
        <v>200</v>
      </c>
      <c r="F12" s="448">
        <v>100</v>
      </c>
      <c r="G12" s="448">
        <v>600</v>
      </c>
      <c r="H12" s="448">
        <v>0</v>
      </c>
      <c r="I12" s="405" t="s">
        <v>302</v>
      </c>
      <c r="K12" s="14" t="s">
        <v>508</v>
      </c>
    </row>
    <row r="13" spans="2:12" ht="15.75">
      <c r="B13" s="406"/>
      <c r="C13" s="258" t="s">
        <v>299</v>
      </c>
      <c r="D13" s="448">
        <v>560</v>
      </c>
      <c r="E13" s="448">
        <v>200</v>
      </c>
      <c r="F13" s="448">
        <v>100</v>
      </c>
      <c r="G13" s="448">
        <v>600</v>
      </c>
      <c r="H13" s="448">
        <v>0</v>
      </c>
      <c r="I13" s="405" t="s">
        <v>302</v>
      </c>
      <c r="L13" s="466">
        <v>2</v>
      </c>
    </row>
    <row r="14" spans="2:9" ht="15.75">
      <c r="B14" s="406"/>
      <c r="C14" s="258" t="s">
        <v>300</v>
      </c>
      <c r="D14" s="448">
        <v>485</v>
      </c>
      <c r="E14" s="448">
        <v>200</v>
      </c>
      <c r="F14" s="448">
        <v>100</v>
      </c>
      <c r="G14" s="448">
        <v>600</v>
      </c>
      <c r="H14" s="448">
        <v>0</v>
      </c>
      <c r="I14" s="405" t="s">
        <v>302</v>
      </c>
    </row>
    <row r="15" spans="2:9" ht="15.75">
      <c r="B15" s="407"/>
      <c r="C15" s="430" t="s">
        <v>301</v>
      </c>
      <c r="D15" s="432">
        <f>AVERAGE(D11:D14)</f>
        <v>546.25</v>
      </c>
      <c r="E15" s="432">
        <f>AVERAGE(E11:E14)</f>
        <v>200</v>
      </c>
      <c r="F15" s="432">
        <f>AVERAGE(F11:F14)</f>
        <v>100</v>
      </c>
      <c r="G15" s="432">
        <f>AVERAGE(G11:G14)</f>
        <v>600</v>
      </c>
      <c r="H15" s="432">
        <f>AVERAGE(H11:H14)</f>
        <v>0</v>
      </c>
      <c r="I15" s="431" t="s">
        <v>302</v>
      </c>
    </row>
    <row r="16" spans="2:9" ht="15.75">
      <c r="B16" s="155"/>
      <c r="C16" s="155"/>
      <c r="D16" s="155"/>
      <c r="E16" s="155"/>
      <c r="F16" s="155"/>
      <c r="G16" s="155"/>
      <c r="H16" s="155"/>
      <c r="I16" s="155"/>
    </row>
    <row r="17" spans="2:9" ht="15.75">
      <c r="B17" s="409" t="s">
        <v>155</v>
      </c>
      <c r="C17" s="402" t="s">
        <v>297</v>
      </c>
      <c r="D17" s="449">
        <v>0</v>
      </c>
      <c r="E17" s="449">
        <v>1</v>
      </c>
      <c r="F17" s="449">
        <v>1</v>
      </c>
      <c r="G17" s="449">
        <v>0</v>
      </c>
      <c r="H17" s="449">
        <v>0</v>
      </c>
      <c r="I17" s="403" t="s">
        <v>3</v>
      </c>
    </row>
    <row r="18" spans="2:9" ht="15.75">
      <c r="B18" s="406"/>
      <c r="C18" s="258" t="s">
        <v>298</v>
      </c>
      <c r="D18" s="448">
        <v>0</v>
      </c>
      <c r="E18" s="448">
        <v>1</v>
      </c>
      <c r="F18" s="448">
        <v>1</v>
      </c>
      <c r="G18" s="448">
        <v>0</v>
      </c>
      <c r="H18" s="448">
        <v>0</v>
      </c>
      <c r="I18" s="405" t="s">
        <v>3</v>
      </c>
    </row>
    <row r="19" spans="2:9" ht="15.75">
      <c r="B19" s="406"/>
      <c r="C19" s="258" t="s">
        <v>299</v>
      </c>
      <c r="D19" s="448">
        <v>0</v>
      </c>
      <c r="E19" s="448">
        <v>1</v>
      </c>
      <c r="F19" s="448">
        <v>1</v>
      </c>
      <c r="G19" s="448">
        <v>0</v>
      </c>
      <c r="H19" s="448">
        <v>0</v>
      </c>
      <c r="I19" s="405" t="s">
        <v>3</v>
      </c>
    </row>
    <row r="20" spans="2:9" ht="15.75">
      <c r="B20" s="406"/>
      <c r="C20" s="258" t="s">
        <v>300</v>
      </c>
      <c r="D20" s="450">
        <v>-0.3</v>
      </c>
      <c r="E20" s="448">
        <v>1</v>
      </c>
      <c r="F20" s="448">
        <v>1</v>
      </c>
      <c r="G20" s="448">
        <v>0</v>
      </c>
      <c r="H20" s="448">
        <v>0</v>
      </c>
      <c r="I20" s="405" t="s">
        <v>3</v>
      </c>
    </row>
    <row r="21" spans="2:9" ht="15.75">
      <c r="B21" s="407"/>
      <c r="C21" s="430" t="s">
        <v>301</v>
      </c>
      <c r="D21" s="433">
        <f>AVERAGE(D17:D20)</f>
        <v>-0.075</v>
      </c>
      <c r="E21" s="430">
        <f>AVERAGE(E17:E20)</f>
        <v>1</v>
      </c>
      <c r="F21" s="430">
        <f>AVERAGE(F17:F20)</f>
        <v>1</v>
      </c>
      <c r="G21" s="430">
        <f>AVERAGE(G17:G20)</f>
        <v>0</v>
      </c>
      <c r="H21" s="430">
        <f>AVERAGE(H17:H20)</f>
        <v>0</v>
      </c>
      <c r="I21" s="431" t="s">
        <v>3</v>
      </c>
    </row>
    <row r="22" spans="2:9" ht="15.75">
      <c r="B22" s="155"/>
      <c r="C22" s="155"/>
      <c r="D22" s="155"/>
      <c r="E22" s="155"/>
      <c r="F22" s="155"/>
      <c r="G22" s="155"/>
      <c r="H22" s="155"/>
      <c r="I22" s="155"/>
    </row>
    <row r="23" spans="2:9" ht="15.75">
      <c r="B23" s="409" t="s">
        <v>504</v>
      </c>
      <c r="C23" s="402" t="s">
        <v>297</v>
      </c>
      <c r="D23" s="449">
        <v>25</v>
      </c>
      <c r="E23" s="449">
        <v>25</v>
      </c>
      <c r="F23" s="449">
        <v>25</v>
      </c>
      <c r="G23" s="449">
        <v>25</v>
      </c>
      <c r="H23" s="449">
        <v>25</v>
      </c>
      <c r="I23" s="403" t="s">
        <v>26</v>
      </c>
    </row>
    <row r="24" spans="2:9" ht="15.75">
      <c r="B24" s="406"/>
      <c r="C24" s="258" t="s">
        <v>298</v>
      </c>
      <c r="D24" s="448">
        <v>7</v>
      </c>
      <c r="E24" s="448">
        <v>7</v>
      </c>
      <c r="F24" s="448">
        <v>7</v>
      </c>
      <c r="G24" s="448">
        <v>7</v>
      </c>
      <c r="H24" s="448">
        <v>7</v>
      </c>
      <c r="I24" s="405" t="s">
        <v>26</v>
      </c>
    </row>
    <row r="25" spans="2:9" ht="15.75">
      <c r="B25" s="406"/>
      <c r="C25" s="258" t="s">
        <v>299</v>
      </c>
      <c r="D25" s="448">
        <v>10</v>
      </c>
      <c r="E25" s="448">
        <v>10</v>
      </c>
      <c r="F25" s="448">
        <v>10</v>
      </c>
      <c r="G25" s="448">
        <v>10</v>
      </c>
      <c r="H25" s="448">
        <v>10</v>
      </c>
      <c r="I25" s="405" t="s">
        <v>26</v>
      </c>
    </row>
    <row r="26" spans="2:9" ht="15.75">
      <c r="B26" s="406"/>
      <c r="C26" s="258" t="s">
        <v>300</v>
      </c>
      <c r="D26" s="448">
        <v>21</v>
      </c>
      <c r="E26" s="448">
        <v>21</v>
      </c>
      <c r="F26" s="448">
        <v>21</v>
      </c>
      <c r="G26" s="448">
        <v>21</v>
      </c>
      <c r="H26" s="448">
        <v>21</v>
      </c>
      <c r="I26" s="405" t="s">
        <v>26</v>
      </c>
    </row>
    <row r="27" spans="2:9" ht="15.75">
      <c r="B27" s="407"/>
      <c r="C27" s="430" t="s">
        <v>301</v>
      </c>
      <c r="D27" s="432">
        <f>AVERAGE(D23:D26)</f>
        <v>15.75</v>
      </c>
      <c r="E27" s="432">
        <f>AVERAGE(E23:E26)</f>
        <v>15.75</v>
      </c>
      <c r="F27" s="432">
        <f>AVERAGE(F23:F26)</f>
        <v>15.75</v>
      </c>
      <c r="G27" s="432">
        <f>AVERAGE(G23:G26)</f>
        <v>15.75</v>
      </c>
      <c r="H27" s="432">
        <f>AVERAGE(H23:H26)</f>
        <v>15.75</v>
      </c>
      <c r="I27" s="431" t="s">
        <v>26</v>
      </c>
    </row>
    <row r="28" spans="2:9" ht="15.75">
      <c r="B28" s="155"/>
      <c r="C28" s="155"/>
      <c r="D28" s="155"/>
      <c r="E28" s="155"/>
      <c r="F28" s="155"/>
      <c r="G28" s="155"/>
      <c r="H28" s="155"/>
      <c r="I28" s="155"/>
    </row>
    <row r="29" spans="2:9" ht="15.75">
      <c r="B29" s="409" t="s">
        <v>150</v>
      </c>
      <c r="C29" s="402" t="s">
        <v>297</v>
      </c>
      <c r="D29" s="449">
        <v>76</v>
      </c>
      <c r="E29" s="449">
        <v>76</v>
      </c>
      <c r="F29" s="449">
        <v>76</v>
      </c>
      <c r="G29" s="449">
        <v>76</v>
      </c>
      <c r="H29" s="449">
        <v>76</v>
      </c>
      <c r="I29" s="403" t="s">
        <v>26</v>
      </c>
    </row>
    <row r="30" spans="2:9" ht="15.75">
      <c r="B30" s="406"/>
      <c r="C30" s="258" t="s">
        <v>298</v>
      </c>
      <c r="D30" s="448">
        <v>70</v>
      </c>
      <c r="E30" s="448">
        <v>70</v>
      </c>
      <c r="F30" s="448">
        <v>70</v>
      </c>
      <c r="G30" s="448">
        <v>70</v>
      </c>
      <c r="H30" s="448">
        <v>70</v>
      </c>
      <c r="I30" s="405" t="s">
        <v>26</v>
      </c>
    </row>
    <row r="31" spans="2:9" ht="15.75">
      <c r="B31" s="406"/>
      <c r="C31" s="258" t="s">
        <v>299</v>
      </c>
      <c r="D31" s="448">
        <v>62</v>
      </c>
      <c r="E31" s="448">
        <v>62</v>
      </c>
      <c r="F31" s="448">
        <v>62</v>
      </c>
      <c r="G31" s="448">
        <v>62</v>
      </c>
      <c r="H31" s="448">
        <v>62</v>
      </c>
      <c r="I31" s="405" t="s">
        <v>26</v>
      </c>
    </row>
    <row r="32" spans="2:9" ht="15.75">
      <c r="B32" s="406"/>
      <c r="C32" s="258" t="s">
        <v>300</v>
      </c>
      <c r="D32" s="448">
        <v>75</v>
      </c>
      <c r="E32" s="448">
        <v>75</v>
      </c>
      <c r="F32" s="448">
        <v>75</v>
      </c>
      <c r="G32" s="448">
        <v>75</v>
      </c>
      <c r="H32" s="448">
        <v>75</v>
      </c>
      <c r="I32" s="405" t="s">
        <v>26</v>
      </c>
    </row>
    <row r="33" spans="2:9" ht="15.75">
      <c r="B33" s="407"/>
      <c r="C33" s="430" t="s">
        <v>301</v>
      </c>
      <c r="D33" s="432">
        <f>AVERAGE(D29:D32)</f>
        <v>70.75</v>
      </c>
      <c r="E33" s="432">
        <f>AVERAGE(E29:E32)</f>
        <v>70.75</v>
      </c>
      <c r="F33" s="432">
        <f>AVERAGE(F29:F32)</f>
        <v>70.75</v>
      </c>
      <c r="G33" s="432">
        <f>AVERAGE(G29:G32)</f>
        <v>70.75</v>
      </c>
      <c r="H33" s="432">
        <f>AVERAGE(H29:H32)</f>
        <v>70.75</v>
      </c>
      <c r="I33" s="431" t="s">
        <v>26</v>
      </c>
    </row>
    <row r="34" spans="2:9" ht="15.75">
      <c r="B34" s="155"/>
      <c r="C34" s="155"/>
      <c r="D34" s="155"/>
      <c r="E34" s="155"/>
      <c r="F34" s="155"/>
      <c r="G34" s="155"/>
      <c r="H34" s="155"/>
      <c r="I34" s="155"/>
    </row>
    <row r="35" spans="2:9" ht="15.75">
      <c r="B35" s="409" t="s">
        <v>514</v>
      </c>
      <c r="C35" s="402" t="s">
        <v>297</v>
      </c>
      <c r="D35" s="449">
        <v>29</v>
      </c>
      <c r="E35" s="449">
        <v>0</v>
      </c>
      <c r="F35" s="449">
        <v>0</v>
      </c>
      <c r="G35" s="449">
        <v>0</v>
      </c>
      <c r="H35" s="449">
        <v>0</v>
      </c>
      <c r="I35" s="403" t="s">
        <v>433</v>
      </c>
    </row>
    <row r="36" spans="2:9" ht="15.75">
      <c r="B36" s="406"/>
      <c r="C36" s="258" t="s">
        <v>298</v>
      </c>
      <c r="D36" s="448">
        <v>25</v>
      </c>
      <c r="E36" s="448">
        <v>0</v>
      </c>
      <c r="F36" s="448">
        <v>0</v>
      </c>
      <c r="G36" s="448">
        <v>0</v>
      </c>
      <c r="H36" s="448">
        <v>0</v>
      </c>
      <c r="I36" s="405" t="s">
        <v>433</v>
      </c>
    </row>
    <row r="37" spans="2:9" ht="15.75">
      <c r="B37" s="406"/>
      <c r="C37" s="258" t="s">
        <v>299</v>
      </c>
      <c r="D37" s="448">
        <v>18</v>
      </c>
      <c r="E37" s="448">
        <v>0</v>
      </c>
      <c r="F37" s="448">
        <v>0</v>
      </c>
      <c r="G37" s="448">
        <v>0</v>
      </c>
      <c r="H37" s="448">
        <v>0</v>
      </c>
      <c r="I37" s="405" t="s">
        <v>433</v>
      </c>
    </row>
    <row r="38" spans="2:9" ht="15.75">
      <c r="B38" s="406"/>
      <c r="C38" s="258" t="s">
        <v>300</v>
      </c>
      <c r="D38" s="448">
        <v>5</v>
      </c>
      <c r="E38" s="448">
        <v>0</v>
      </c>
      <c r="F38" s="448">
        <v>0</v>
      </c>
      <c r="G38" s="448">
        <v>0</v>
      </c>
      <c r="H38" s="448">
        <v>0</v>
      </c>
      <c r="I38" s="405" t="s">
        <v>433</v>
      </c>
    </row>
    <row r="39" spans="2:20" ht="15.75">
      <c r="B39" s="407"/>
      <c r="C39" s="430" t="s">
        <v>301</v>
      </c>
      <c r="D39" s="432">
        <f>AVERAGE(D35:D38)</f>
        <v>19.25</v>
      </c>
      <c r="E39" s="432">
        <f>AVERAGE(E35:E38)</f>
        <v>0</v>
      </c>
      <c r="F39" s="432">
        <f>AVERAGE(F35:F38)</f>
        <v>0</v>
      </c>
      <c r="G39" s="432">
        <f>AVERAGE(G35:G38)</f>
        <v>0</v>
      </c>
      <c r="H39" s="432">
        <f>AVERAGE(H35:H38)</f>
        <v>0</v>
      </c>
      <c r="I39" s="431" t="s">
        <v>433</v>
      </c>
      <c r="L39" s="14"/>
      <c r="M39" s="14"/>
      <c r="N39" s="14"/>
      <c r="O39" s="14"/>
      <c r="P39" s="14"/>
      <c r="Q39" s="14"/>
      <c r="R39" s="14"/>
      <c r="S39" s="14"/>
      <c r="T39" s="14"/>
    </row>
    <row r="40" spans="2:20" ht="15.75">
      <c r="B40" s="155"/>
      <c r="C40" s="155"/>
      <c r="D40" s="155"/>
      <c r="E40" s="155"/>
      <c r="F40" s="155"/>
      <c r="G40" s="155"/>
      <c r="H40" s="155"/>
      <c r="I40" s="155"/>
      <c r="L40" s="14"/>
      <c r="M40" s="14"/>
      <c r="N40" s="14"/>
      <c r="O40" s="14"/>
      <c r="P40" s="14"/>
      <c r="Q40" s="14"/>
      <c r="R40" s="14"/>
      <c r="S40" s="14"/>
      <c r="T40" s="14"/>
    </row>
    <row r="41" spans="2:20" ht="15.75">
      <c r="B41" s="409" t="s">
        <v>500</v>
      </c>
      <c r="C41" s="410" t="s">
        <v>297</v>
      </c>
      <c r="D41" s="449">
        <v>50</v>
      </c>
      <c r="E41" s="402"/>
      <c r="F41" s="402"/>
      <c r="G41" s="402"/>
      <c r="H41" s="402"/>
      <c r="I41" s="403" t="s">
        <v>502</v>
      </c>
      <c r="L41" s="14"/>
      <c r="M41" s="113"/>
      <c r="N41" s="175"/>
      <c r="O41" s="448"/>
      <c r="P41" s="14"/>
      <c r="Q41" s="14"/>
      <c r="R41" s="14"/>
      <c r="S41" s="14"/>
      <c r="T41" s="14"/>
    </row>
    <row r="42" spans="2:20" ht="15.75">
      <c r="B42" s="406"/>
      <c r="C42" s="332" t="s">
        <v>298</v>
      </c>
      <c r="D42" s="448">
        <v>0</v>
      </c>
      <c r="E42" s="258"/>
      <c r="F42" s="258"/>
      <c r="G42" s="258"/>
      <c r="H42" s="258"/>
      <c r="I42" s="405" t="s">
        <v>502</v>
      </c>
      <c r="L42" s="14"/>
      <c r="M42" s="14"/>
      <c r="N42" s="175"/>
      <c r="O42" s="448"/>
      <c r="P42" s="14"/>
      <c r="Q42" s="14"/>
      <c r="R42" s="14"/>
      <c r="S42" s="14"/>
      <c r="T42" s="14"/>
    </row>
    <row r="43" spans="2:20" ht="15.75">
      <c r="B43" s="406"/>
      <c r="C43" s="332" t="s">
        <v>299</v>
      </c>
      <c r="D43" s="448">
        <v>0</v>
      </c>
      <c r="E43" s="258"/>
      <c r="F43" s="258"/>
      <c r="G43" s="258"/>
      <c r="H43" s="258"/>
      <c r="I43" s="405" t="s">
        <v>502</v>
      </c>
      <c r="L43" s="14"/>
      <c r="M43" s="14"/>
      <c r="N43" s="175"/>
      <c r="O43" s="448"/>
      <c r="P43" s="14"/>
      <c r="Q43" s="14"/>
      <c r="R43" s="14"/>
      <c r="S43" s="14"/>
      <c r="T43" s="14"/>
    </row>
    <row r="44" spans="2:20" ht="15.75">
      <c r="B44" s="406"/>
      <c r="C44" s="332" t="s">
        <v>300</v>
      </c>
      <c r="D44" s="448">
        <v>0</v>
      </c>
      <c r="E44" s="258"/>
      <c r="F44" s="258"/>
      <c r="G44" s="258"/>
      <c r="H44" s="258"/>
      <c r="I44" s="405" t="s">
        <v>502</v>
      </c>
      <c r="L44" s="14"/>
      <c r="M44" s="14"/>
      <c r="N44" s="175"/>
      <c r="O44" s="448"/>
      <c r="P44" s="14"/>
      <c r="Q44" s="14"/>
      <c r="R44" s="14"/>
      <c r="S44" s="14"/>
      <c r="T44" s="14"/>
    </row>
    <row r="45" spans="2:20" ht="15.75">
      <c r="B45" s="407"/>
      <c r="C45" s="434" t="s">
        <v>21</v>
      </c>
      <c r="D45" s="408">
        <f>SUM(D41:D44)</f>
        <v>50</v>
      </c>
      <c r="E45" s="408"/>
      <c r="F45" s="408"/>
      <c r="G45" s="408"/>
      <c r="H45" s="408"/>
      <c r="I45" s="464" t="s">
        <v>502</v>
      </c>
      <c r="L45" s="14"/>
      <c r="M45" s="14"/>
      <c r="N45" s="462"/>
      <c r="O45" s="463"/>
      <c r="P45" s="463"/>
      <c r="Q45" s="463"/>
      <c r="R45" s="463"/>
      <c r="S45" s="463"/>
      <c r="T45" s="463"/>
    </row>
    <row r="46" spans="2:20" ht="15.75">
      <c r="B46" s="155"/>
      <c r="C46" s="155"/>
      <c r="D46" s="155"/>
      <c r="E46" s="155"/>
      <c r="F46" s="155"/>
      <c r="G46" s="155"/>
      <c r="H46" s="155"/>
      <c r="I46" s="155"/>
      <c r="L46" s="14"/>
      <c r="M46" s="14"/>
      <c r="N46" s="175"/>
      <c r="O46" s="14"/>
      <c r="P46" s="14"/>
      <c r="Q46" s="14"/>
      <c r="R46" s="14"/>
      <c r="S46" s="14"/>
      <c r="T46" s="14"/>
    </row>
    <row r="47" spans="2:20" ht="15.75">
      <c r="B47" s="409" t="s">
        <v>501</v>
      </c>
      <c r="C47" s="410" t="s">
        <v>297</v>
      </c>
      <c r="D47" s="449">
        <v>65</v>
      </c>
      <c r="E47" s="402"/>
      <c r="F47" s="402"/>
      <c r="G47" s="402"/>
      <c r="H47" s="402"/>
      <c r="I47" s="403" t="s">
        <v>502</v>
      </c>
      <c r="L47" s="14"/>
      <c r="M47" s="113"/>
      <c r="N47" s="175"/>
      <c r="O47" s="448"/>
      <c r="P47" s="14"/>
      <c r="Q47" s="14"/>
      <c r="R47" s="14"/>
      <c r="S47" s="14"/>
      <c r="T47" s="14"/>
    </row>
    <row r="48" spans="2:20" ht="15.75">
      <c r="B48" s="406"/>
      <c r="C48" s="332" t="s">
        <v>298</v>
      </c>
      <c r="D48" s="448">
        <v>0</v>
      </c>
      <c r="E48" s="258"/>
      <c r="F48" s="258"/>
      <c r="G48" s="258"/>
      <c r="H48" s="258"/>
      <c r="I48" s="405" t="s">
        <v>502</v>
      </c>
      <c r="L48" s="14"/>
      <c r="M48" s="14"/>
      <c r="N48" s="175"/>
      <c r="O48" s="448"/>
      <c r="P48" s="14"/>
      <c r="Q48" s="14"/>
      <c r="R48" s="14"/>
      <c r="S48" s="14"/>
      <c r="T48" s="14"/>
    </row>
    <row r="49" spans="2:20" ht="15.75">
      <c r="B49" s="406"/>
      <c r="C49" s="332" t="s">
        <v>299</v>
      </c>
      <c r="D49" s="448">
        <v>65</v>
      </c>
      <c r="E49" s="258"/>
      <c r="F49" s="258"/>
      <c r="G49" s="258"/>
      <c r="H49" s="258"/>
      <c r="I49" s="405" t="s">
        <v>502</v>
      </c>
      <c r="L49" s="14"/>
      <c r="M49" s="14"/>
      <c r="N49" s="175"/>
      <c r="O49" s="448"/>
      <c r="P49" s="14"/>
      <c r="Q49" s="14"/>
      <c r="R49" s="14"/>
      <c r="S49" s="14"/>
      <c r="T49" s="14"/>
    </row>
    <row r="50" spans="2:20" ht="15.75">
      <c r="B50" s="406"/>
      <c r="C50" s="332" t="s">
        <v>300</v>
      </c>
      <c r="D50" s="448">
        <v>65</v>
      </c>
      <c r="E50" s="258"/>
      <c r="F50" s="258"/>
      <c r="G50" s="258"/>
      <c r="H50" s="258"/>
      <c r="I50" s="405" t="s">
        <v>502</v>
      </c>
      <c r="L50" s="14"/>
      <c r="M50" s="14"/>
      <c r="N50" s="175"/>
      <c r="O50" s="448"/>
      <c r="P50" s="14"/>
      <c r="Q50" s="14"/>
      <c r="R50" s="14"/>
      <c r="S50" s="14"/>
      <c r="T50" s="14"/>
    </row>
    <row r="51" spans="2:20" ht="15.75">
      <c r="B51" s="407"/>
      <c r="C51" s="434" t="s">
        <v>21</v>
      </c>
      <c r="D51" s="408">
        <f>SUM(D47:D50)</f>
        <v>195</v>
      </c>
      <c r="E51" s="408"/>
      <c r="F51" s="408"/>
      <c r="G51" s="408"/>
      <c r="H51" s="408"/>
      <c r="I51" s="464" t="s">
        <v>502</v>
      </c>
      <c r="L51" s="14"/>
      <c r="M51" s="14"/>
      <c r="N51" s="462"/>
      <c r="O51" s="463"/>
      <c r="P51" s="463"/>
      <c r="Q51" s="463"/>
      <c r="R51" s="463"/>
      <c r="S51" s="463"/>
      <c r="T51" s="463"/>
    </row>
    <row r="52" spans="2:20" ht="15.75">
      <c r="B52" s="258"/>
      <c r="C52" s="258"/>
      <c r="D52" s="258"/>
      <c r="E52" s="258"/>
      <c r="F52" s="258"/>
      <c r="G52" s="258"/>
      <c r="H52" s="258"/>
      <c r="I52" s="258"/>
      <c r="L52" s="14"/>
      <c r="M52" s="14"/>
      <c r="N52" s="14"/>
      <c r="O52" s="14"/>
      <c r="P52" s="14"/>
      <c r="Q52" s="14"/>
      <c r="R52" s="14"/>
      <c r="S52" s="14"/>
      <c r="T52" s="14"/>
    </row>
    <row r="53" spans="2:20" ht="15.75">
      <c r="B53" s="413" t="s">
        <v>84</v>
      </c>
      <c r="C53" s="455">
        <v>10</v>
      </c>
      <c r="D53" s="414"/>
      <c r="E53" s="414"/>
      <c r="F53" s="414"/>
      <c r="G53" s="414"/>
      <c r="H53" s="402"/>
      <c r="I53" s="415" t="s">
        <v>86</v>
      </c>
      <c r="L53" s="14"/>
      <c r="M53" s="14"/>
      <c r="N53" s="14"/>
      <c r="O53" s="14"/>
      <c r="P53" s="14"/>
      <c r="Q53" s="14"/>
      <c r="R53" s="14"/>
      <c r="S53" s="14"/>
      <c r="T53" s="14"/>
    </row>
    <row r="54" spans="2:20" ht="15.75">
      <c r="B54" s="416" t="s">
        <v>85</v>
      </c>
      <c r="C54" s="456">
        <v>100</v>
      </c>
      <c r="D54" s="417"/>
      <c r="E54" s="417"/>
      <c r="F54" s="417"/>
      <c r="G54" s="417"/>
      <c r="H54" s="408"/>
      <c r="I54" s="418" t="s">
        <v>86</v>
      </c>
      <c r="L54" s="14"/>
      <c r="M54" s="14"/>
      <c r="N54" s="14"/>
      <c r="O54" s="14"/>
      <c r="P54" s="14"/>
      <c r="Q54" s="14"/>
      <c r="R54" s="14"/>
      <c r="S54" s="14"/>
      <c r="T54" s="14"/>
    </row>
    <row r="55" spans="2:9" ht="15.75">
      <c r="B55" s="188"/>
      <c r="C55" s="258"/>
      <c r="D55" s="258"/>
      <c r="E55" s="258"/>
      <c r="F55" s="258"/>
      <c r="G55" s="258"/>
      <c r="H55" s="258"/>
      <c r="I55" s="258"/>
    </row>
    <row r="56" spans="2:9" ht="15.75">
      <c r="B56" s="413" t="s">
        <v>76</v>
      </c>
      <c r="C56" s="455">
        <v>10000</v>
      </c>
      <c r="D56" s="414"/>
      <c r="E56" s="419"/>
      <c r="F56" s="420"/>
      <c r="G56" s="420"/>
      <c r="H56" s="402"/>
      <c r="I56" s="415" t="s">
        <v>74</v>
      </c>
    </row>
    <row r="57" spans="2:9" ht="15.75">
      <c r="B57" s="421" t="s">
        <v>13</v>
      </c>
      <c r="C57" s="457">
        <v>43248</v>
      </c>
      <c r="D57" s="317"/>
      <c r="E57" s="318"/>
      <c r="F57" s="319"/>
      <c r="G57" s="319"/>
      <c r="H57" s="258"/>
      <c r="I57" s="422" t="s">
        <v>75</v>
      </c>
    </row>
    <row r="58" spans="2:9" ht="15.75">
      <c r="B58" s="416" t="s">
        <v>125</v>
      </c>
      <c r="C58" s="456">
        <v>1</v>
      </c>
      <c r="D58" s="408"/>
      <c r="E58" s="408"/>
      <c r="F58" s="408"/>
      <c r="G58" s="408"/>
      <c r="H58" s="408"/>
      <c r="I58" s="418" t="s">
        <v>127</v>
      </c>
    </row>
    <row r="59" spans="2:9" ht="15.75">
      <c r="B59" s="155"/>
      <c r="C59" s="155"/>
      <c r="D59" s="155"/>
      <c r="E59" s="155"/>
      <c r="F59" s="155"/>
      <c r="G59" s="155"/>
      <c r="H59" s="155"/>
      <c r="I59" s="155"/>
    </row>
    <row r="60" spans="2:9" ht="15.75">
      <c r="B60" s="258"/>
      <c r="C60" s="425" t="s">
        <v>475</v>
      </c>
      <c r="D60" s="425" t="s">
        <v>476</v>
      </c>
      <c r="E60" s="425" t="s">
        <v>477</v>
      </c>
      <c r="F60" s="425" t="s">
        <v>478</v>
      </c>
      <c r="G60" s="425" t="s">
        <v>479</v>
      </c>
      <c r="H60" s="425" t="s">
        <v>497</v>
      </c>
      <c r="I60" s="425" t="s">
        <v>480</v>
      </c>
    </row>
    <row r="61" spans="2:10" ht="15.75">
      <c r="B61" s="411" t="s">
        <v>353</v>
      </c>
      <c r="C61" s="451">
        <v>6</v>
      </c>
      <c r="D61" s="451">
        <v>0.5</v>
      </c>
      <c r="E61" s="451">
        <v>1.5</v>
      </c>
      <c r="F61" s="451">
        <f>'Data input'!F100</f>
        <v>0</v>
      </c>
      <c r="G61" s="451">
        <v>0</v>
      </c>
      <c r="H61" s="451">
        <v>0</v>
      </c>
      <c r="I61" s="452">
        <v>92</v>
      </c>
      <c r="J61" s="12" t="s">
        <v>482</v>
      </c>
    </row>
    <row r="62" spans="2:10" ht="15.75">
      <c r="B62" s="412" t="s">
        <v>354</v>
      </c>
      <c r="C62" s="453">
        <v>0</v>
      </c>
      <c r="D62" s="453">
        <v>0</v>
      </c>
      <c r="E62" s="453">
        <v>0</v>
      </c>
      <c r="F62" s="453">
        <f>'Data input'!F101</f>
        <v>0</v>
      </c>
      <c r="G62" s="453">
        <v>0</v>
      </c>
      <c r="H62" s="453">
        <v>0</v>
      </c>
      <c r="I62" s="454">
        <v>100</v>
      </c>
      <c r="J62" s="12" t="s">
        <v>482</v>
      </c>
    </row>
    <row r="63" spans="2:9" ht="15.75">
      <c r="B63" s="155"/>
      <c r="C63" s="155"/>
      <c r="D63" s="155"/>
      <c r="E63" s="155"/>
      <c r="F63" s="155"/>
      <c r="G63" s="155"/>
      <c r="H63" s="155"/>
      <c r="I63" s="155"/>
    </row>
    <row r="64" ht="15.75"/>
  </sheetData>
  <sheetProtection sheet="1"/>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N101"/>
  <sheetViews>
    <sheetView showGridLines="0" zoomScale="80" zoomScaleNormal="80" zoomScalePageLayoutView="0" workbookViewId="0" topLeftCell="A1">
      <selection activeCell="A1" sqref="A1"/>
    </sheetView>
  </sheetViews>
  <sheetFormatPr defaultColWidth="9.140625" defaultRowHeight="12.75"/>
  <cols>
    <col min="1" max="1" width="3.28125" style="1" customWidth="1"/>
    <col min="2" max="2" width="34.7109375" style="1" customWidth="1"/>
    <col min="3" max="3" width="12.00390625" style="1" customWidth="1"/>
    <col min="4" max="4" width="16.7109375" style="1" customWidth="1"/>
    <col min="5" max="5" width="17.00390625" style="1" customWidth="1"/>
    <col min="6" max="6" width="15.00390625" style="1" customWidth="1"/>
    <col min="7" max="7" width="15.28125" style="1" customWidth="1"/>
    <col min="8" max="8" width="15.7109375" style="1" customWidth="1"/>
    <col min="9" max="10" width="15.421875" style="1" customWidth="1"/>
    <col min="11" max="11" width="29.28125" style="1" customWidth="1"/>
    <col min="12" max="12" width="10.28125" style="1" customWidth="1"/>
    <col min="13" max="13" width="15.28125" style="1" customWidth="1"/>
    <col min="14" max="14" width="14.140625" style="1" customWidth="1"/>
    <col min="15" max="15" width="14.421875" style="1" customWidth="1"/>
    <col min="16" max="16" width="15.140625" style="1" customWidth="1"/>
    <col min="17" max="17" width="16.00390625" style="1" customWidth="1"/>
    <col min="18" max="18" width="19.421875" style="1" customWidth="1"/>
    <col min="19" max="19" width="20.28125" style="189" customWidth="1"/>
    <col min="20" max="21" width="10.140625" style="1" customWidth="1"/>
    <col min="22" max="22" width="17.00390625" style="1" customWidth="1"/>
    <col min="23" max="23" width="9.00390625" style="1" customWidth="1"/>
    <col min="24" max="24" width="7.140625" style="1" customWidth="1"/>
    <col min="25" max="25" width="7.00390625" style="1" customWidth="1"/>
    <col min="26" max="26" width="7.57421875" style="1" bestFit="1" customWidth="1"/>
    <col min="27" max="27" width="9.57421875" style="1" bestFit="1" customWidth="1"/>
    <col min="28" max="28" width="7.140625" style="1" customWidth="1"/>
    <col min="29" max="29" width="16.7109375" style="1" customWidth="1"/>
    <col min="30" max="30" width="9.00390625" style="1" bestFit="1" customWidth="1"/>
    <col min="31" max="31" width="5.7109375" style="1" customWidth="1"/>
    <col min="32" max="32" width="5.140625" style="1" bestFit="1" customWidth="1"/>
    <col min="33" max="33" width="7.57421875" style="1" bestFit="1" customWidth="1"/>
    <col min="34" max="34" width="9.57421875" style="1" bestFit="1" customWidth="1"/>
    <col min="35" max="35" width="6.28125" style="1" customWidth="1"/>
    <col min="36" max="36" width="17.00390625" style="1" customWidth="1"/>
    <col min="37" max="37" width="7.7109375" style="1" bestFit="1" customWidth="1"/>
    <col min="38" max="38" width="6.00390625" style="1" customWidth="1"/>
    <col min="39" max="39" width="5.140625" style="1" bestFit="1" customWidth="1"/>
    <col min="40" max="40" width="7.57421875" style="1" bestFit="1" customWidth="1"/>
    <col min="41" max="41" width="9.57421875" style="1" bestFit="1" customWidth="1"/>
    <col min="42" max="42" width="5.28125" style="1" bestFit="1" customWidth="1"/>
    <col min="43" max="43" width="17.7109375" style="1" customWidth="1"/>
    <col min="44" max="44" width="8.28125" style="1" bestFit="1" customWidth="1"/>
    <col min="45" max="45" width="6.140625" style="1" customWidth="1"/>
    <col min="46" max="46" width="5.140625" style="1" bestFit="1" customWidth="1"/>
    <col min="47" max="47" width="7.57421875" style="1" bestFit="1" customWidth="1"/>
    <col min="48" max="48" width="9.421875" style="1" customWidth="1"/>
    <col min="49" max="49" width="5.28125" style="1" bestFit="1" customWidth="1"/>
    <col min="50" max="16384" width="9.140625" style="1" customWidth="1"/>
  </cols>
  <sheetData>
    <row r="1" spans="2:7" ht="30" customHeight="1">
      <c r="B1" s="17" t="s">
        <v>456</v>
      </c>
      <c r="C1" s="17"/>
      <c r="D1" s="17"/>
      <c r="E1" s="17"/>
      <c r="F1" s="17"/>
      <c r="G1" s="2"/>
    </row>
    <row r="2" spans="2:7" ht="12" customHeight="1">
      <c r="B2" s="17"/>
      <c r="C2" s="17"/>
      <c r="D2" s="17"/>
      <c r="E2" s="17"/>
      <c r="F2" s="17"/>
      <c r="G2" s="2"/>
    </row>
    <row r="3" spans="2:19" ht="15" customHeight="1">
      <c r="B3" s="217" t="s">
        <v>22</v>
      </c>
      <c r="C3" s="217" t="s">
        <v>304</v>
      </c>
      <c r="D3" s="218" t="str">
        <f>'Data input'!D3</f>
        <v>Milking Cows</v>
      </c>
      <c r="E3" s="218" t="str">
        <f>'Data input'!E3</f>
        <v>Heifers &gt;1 </v>
      </c>
      <c r="F3" s="218" t="str">
        <f>'Data input'!F3</f>
        <v>Heifers &lt;1 </v>
      </c>
      <c r="G3" s="218" t="str">
        <f>'Data input'!G3</f>
        <v>Dairy Bulls&gt;1</v>
      </c>
      <c r="H3" s="218" t="str">
        <f>'Data input'!H3</f>
        <v>Dairy Bulls&lt;1</v>
      </c>
      <c r="I3" s="218" t="str">
        <f>'Data input'!I3</f>
        <v>Units</v>
      </c>
      <c r="J3" s="15"/>
      <c r="K3" s="217" t="s">
        <v>31</v>
      </c>
      <c r="L3" s="217" t="s">
        <v>304</v>
      </c>
      <c r="M3" s="218" t="str">
        <f>'Data input'!D3</f>
        <v>Milking Cows</v>
      </c>
      <c r="N3" s="218" t="str">
        <f>'Data input'!E3</f>
        <v>Heifers &gt;1 </v>
      </c>
      <c r="O3" s="218" t="str">
        <f>'Data input'!F3</f>
        <v>Heifers &lt;1 </v>
      </c>
      <c r="P3" s="218" t="str">
        <f>'Data input'!G3</f>
        <v>Dairy Bulls&gt;1</v>
      </c>
      <c r="Q3" s="218" t="str">
        <f>'Data input'!H3</f>
        <v>Dairy Bulls&lt;1</v>
      </c>
      <c r="R3" s="218" t="str">
        <f>'Data input'!I3</f>
        <v>Units</v>
      </c>
      <c r="S3" s="221" t="s">
        <v>510</v>
      </c>
    </row>
    <row r="4" spans="2:19" ht="15.75">
      <c r="B4" s="157"/>
      <c r="C4" s="157"/>
      <c r="D4" s="156"/>
      <c r="E4" s="156"/>
      <c r="F4" s="156"/>
      <c r="G4" s="156"/>
      <c r="H4" s="156"/>
      <c r="I4" s="157"/>
      <c r="J4" s="15"/>
      <c r="K4" s="97"/>
      <c r="L4" s="97"/>
      <c r="M4" s="97"/>
      <c r="N4" s="97"/>
      <c r="O4" s="97"/>
      <c r="P4" s="97"/>
      <c r="Q4" s="97"/>
      <c r="R4" s="97"/>
      <c r="S4" s="216"/>
    </row>
    <row r="5" spans="1:19" ht="15.75">
      <c r="A5" s="15"/>
      <c r="B5" s="161" t="s">
        <v>509</v>
      </c>
      <c r="C5" s="163" t="s">
        <v>297</v>
      </c>
      <c r="D5" s="100">
        <f>'Data input'!D5</f>
        <v>200</v>
      </c>
      <c r="E5" s="100">
        <f>'Data input'!E5</f>
        <v>40</v>
      </c>
      <c r="F5" s="100">
        <f>'Data input'!F5</f>
        <v>40</v>
      </c>
      <c r="G5" s="100">
        <f>'Data input'!G5</f>
        <v>2</v>
      </c>
      <c r="H5" s="100">
        <f>'Data input'!H5</f>
        <v>0</v>
      </c>
      <c r="I5" s="159" t="s">
        <v>296</v>
      </c>
      <c r="J5" s="15"/>
      <c r="K5" s="20" t="s">
        <v>154</v>
      </c>
      <c r="L5" s="97"/>
      <c r="M5" s="20" t="s">
        <v>305</v>
      </c>
      <c r="N5" s="20"/>
      <c r="O5" s="20"/>
      <c r="P5" s="20"/>
      <c r="Q5" s="97"/>
      <c r="R5" s="97"/>
      <c r="S5" s="215" t="s">
        <v>316</v>
      </c>
    </row>
    <row r="6" spans="1:19" ht="15.75">
      <c r="A6" s="15"/>
      <c r="B6" s="161"/>
      <c r="C6" s="163" t="s">
        <v>298</v>
      </c>
      <c r="D6" s="100">
        <f>'Data input'!D6</f>
        <v>200</v>
      </c>
      <c r="E6" s="100">
        <f>'Data input'!E6</f>
        <v>40</v>
      </c>
      <c r="F6" s="100">
        <f>'Data input'!F6</f>
        <v>40</v>
      </c>
      <c r="G6" s="100">
        <f>'Data input'!G6</f>
        <v>2</v>
      </c>
      <c r="H6" s="100">
        <f>'Data input'!H6</f>
        <v>0</v>
      </c>
      <c r="I6" s="159" t="s">
        <v>296</v>
      </c>
      <c r="J6" s="15"/>
      <c r="K6" s="97"/>
      <c r="L6" s="97" t="s">
        <v>297</v>
      </c>
      <c r="M6" s="99">
        <f>(1.185+(0.00454*D15)-(0.0000026*(D15)^2)+((0.315*D10)))^2*D32+M13</f>
        <v>21.963192809714087</v>
      </c>
      <c r="N6" s="99">
        <f>(1.185+(0.00454*E15)-(0.0000026*(E15)^2)+((0.315*E10)))^2*E32+N13</f>
        <v>5.308415999999999</v>
      </c>
      <c r="O6" s="99">
        <f>(1.185+(0.00454*F15)-(0.0000026*(F15)^2)+((0.315*F10)))^2*F32+O13</f>
        <v>3.7171839999999996</v>
      </c>
      <c r="P6" s="99">
        <f>(1.185+(0.00454*G15)-(0.0000026*(G15)^2)+((0.315*G10)))^2*G32+P13</f>
        <v>8.838728999999999</v>
      </c>
      <c r="Q6" s="99">
        <f>(1.185+(0.00454*H15)-(0.0000026*(H15)^2)+((0.315*H10)))^2*H32+Q13</f>
        <v>1.404225</v>
      </c>
      <c r="R6" s="18" t="s">
        <v>315</v>
      </c>
      <c r="S6" s="216"/>
    </row>
    <row r="7" spans="1:19" ht="15.75">
      <c r="A7" s="15"/>
      <c r="B7" s="161"/>
      <c r="C7" s="163" t="s">
        <v>299</v>
      </c>
      <c r="D7" s="100">
        <f>'Data input'!D7</f>
        <v>200</v>
      </c>
      <c r="E7" s="100">
        <f>'Data input'!E7</f>
        <v>40</v>
      </c>
      <c r="F7" s="100">
        <f>'Data input'!F7</f>
        <v>40</v>
      </c>
      <c r="G7" s="100">
        <f>'Data input'!G7</f>
        <v>2</v>
      </c>
      <c r="H7" s="100">
        <f>'Data input'!H7</f>
        <v>0</v>
      </c>
      <c r="I7" s="159" t="s">
        <v>296</v>
      </c>
      <c r="J7" s="15"/>
      <c r="K7" s="97"/>
      <c r="L7" s="97" t="s">
        <v>298</v>
      </c>
      <c r="M7" s="99">
        <f>(1.185+(0.00454*D16)-(0.0000026*(D16)^2)+((0.315*D11)))^2*D32+M14</f>
        <v>22.528532755973835</v>
      </c>
      <c r="N7" s="99">
        <f>(1.185+(0.00454*E16)-(0.0000026*(E16)^2)+((0.315*E11)))^2*E32+N14</f>
        <v>5.308415999999999</v>
      </c>
      <c r="O7" s="99">
        <f>(1.185+(0.00454*F16)-(0.0000026*(F16)^2)+((0.315*F11)))^2*F32+O14</f>
        <v>3.7171839999999996</v>
      </c>
      <c r="P7" s="99">
        <f>(1.185+(0.00454*G16)-(0.0000026*(G16)^2)+((0.315*G11)))^2*G32+P14</f>
        <v>8.838728999999999</v>
      </c>
      <c r="Q7" s="99">
        <f>(1.185+(0.00454*H16)-(0.0000026*(H16)^2)+((0.315*H11)))^2*H32+Q14</f>
        <v>1.404225</v>
      </c>
      <c r="R7" s="18" t="s">
        <v>315</v>
      </c>
      <c r="S7" s="216"/>
    </row>
    <row r="8" spans="1:19" ht="17.25" customHeight="1">
      <c r="A8" s="15"/>
      <c r="B8" s="161"/>
      <c r="C8" s="163" t="s">
        <v>300</v>
      </c>
      <c r="D8" s="100">
        <f>'Data input'!D8</f>
        <v>200</v>
      </c>
      <c r="E8" s="100">
        <f>'Data input'!E8</f>
        <v>40</v>
      </c>
      <c r="F8" s="100">
        <f>'Data input'!F8</f>
        <v>40</v>
      </c>
      <c r="G8" s="100">
        <f>'Data input'!G8</f>
        <v>2</v>
      </c>
      <c r="H8" s="100">
        <f>'Data input'!H8</f>
        <v>0</v>
      </c>
      <c r="I8" s="159" t="s">
        <v>296</v>
      </c>
      <c r="J8" s="15"/>
      <c r="K8" s="97"/>
      <c r="L8" s="97" t="s">
        <v>299</v>
      </c>
      <c r="M8" s="99">
        <f>(1.185+(0.00454*D17)-(0.0000026*(D17)^2)+((0.315*D12)))^2*D32+M15</f>
        <v>19.458895972280764</v>
      </c>
      <c r="N8" s="99">
        <f>(1.185+(0.00454*E17)-(0.0000026*(E17)^2)+((0.315*E12)))^2*E32+N15</f>
        <v>5.308415999999999</v>
      </c>
      <c r="O8" s="99">
        <f>(1.185+(0.00454*F17)-(0.0000026*(F17)^2)+((0.315*F12)))^2*F32+O15</f>
        <v>3.7171839999999996</v>
      </c>
      <c r="P8" s="99">
        <f>(1.185+(0.00454*G17)-(0.0000026*(G17)^2)+((0.315*G12)))^2*G32+P15</f>
        <v>8.838728999999999</v>
      </c>
      <c r="Q8" s="99">
        <f>(1.185+(0.00454*H17)-(0.0000026*(H17)^2)+((0.315*H12)))^2*H32+Q15</f>
        <v>1.404225</v>
      </c>
      <c r="R8" s="18" t="s">
        <v>315</v>
      </c>
      <c r="S8" s="216"/>
    </row>
    <row r="9" spans="1:19" ht="18" customHeight="1">
      <c r="A9" s="15"/>
      <c r="B9" s="161"/>
      <c r="C9" s="164"/>
      <c r="D9" s="100"/>
      <c r="E9" s="100"/>
      <c r="F9" s="100"/>
      <c r="G9" s="100"/>
      <c r="H9" s="100"/>
      <c r="I9" s="159"/>
      <c r="J9" s="15"/>
      <c r="K9" s="97"/>
      <c r="L9" s="97" t="s">
        <v>300</v>
      </c>
      <c r="M9" s="99">
        <f>(1.185+(0.00454*D18)-(0.0000026*(D18)^2)+((0.315*D13)))^2*D32+M16</f>
        <v>10.23065766084342</v>
      </c>
      <c r="N9" s="99">
        <f>(1.185+(0.00454*E18)-(0.0000026*(E18)^2)+((0.315*E13)))^2*E32+N16</f>
        <v>5.308415999999999</v>
      </c>
      <c r="O9" s="99">
        <f>(1.185+(0.00454*F18)-(0.0000026*(F18)^2)+((0.315*F13)))^2*F32+O16</f>
        <v>3.7171839999999996</v>
      </c>
      <c r="P9" s="99">
        <f>(1.185+(0.00454*G18)-(0.0000026*(G18)^2)+((0.315*G13)))^2*G32+P16</f>
        <v>8.838728999999999</v>
      </c>
      <c r="Q9" s="99">
        <f>(1.185+(0.00454*H18)-(0.0000026*(H18)^2)+((0.315*H13)))^2*H32+Q16</f>
        <v>1.404225</v>
      </c>
      <c r="R9" s="18" t="s">
        <v>315</v>
      </c>
      <c r="S9" s="216"/>
    </row>
    <row r="10" spans="1:19" ht="15.75">
      <c r="A10" s="15"/>
      <c r="B10" s="162" t="s">
        <v>155</v>
      </c>
      <c r="C10" s="163" t="s">
        <v>297</v>
      </c>
      <c r="D10" s="158">
        <f>'Data input'!D17</f>
        <v>0</v>
      </c>
      <c r="E10" s="158">
        <f>'Data input'!E17</f>
        <v>1</v>
      </c>
      <c r="F10" s="158">
        <f>'Data input'!F17</f>
        <v>1</v>
      </c>
      <c r="G10" s="158">
        <f>'Data input'!G17</f>
        <v>0</v>
      </c>
      <c r="H10" s="158">
        <f>'Data input'!H17</f>
        <v>0</v>
      </c>
      <c r="I10" s="158" t="str">
        <f>'Data input'!I17</f>
        <v>kg/day</v>
      </c>
      <c r="J10" s="15"/>
      <c r="K10" s="97"/>
      <c r="L10" s="97"/>
      <c r="M10" s="97"/>
      <c r="N10" s="97"/>
      <c r="O10" s="97"/>
      <c r="P10" s="97"/>
      <c r="Q10" s="97"/>
      <c r="R10" s="97"/>
      <c r="S10" s="216"/>
    </row>
    <row r="11" spans="1:19" ht="15.75">
      <c r="A11" s="15"/>
      <c r="B11" s="163"/>
      <c r="C11" s="163" t="s">
        <v>298</v>
      </c>
      <c r="D11" s="158">
        <f>'Data input'!D18</f>
        <v>0</v>
      </c>
      <c r="E11" s="158">
        <f>'Data input'!E18</f>
        <v>1</v>
      </c>
      <c r="F11" s="158">
        <f>'Data input'!F18</f>
        <v>1</v>
      </c>
      <c r="G11" s="158">
        <f>'Data input'!G18</f>
        <v>0</v>
      </c>
      <c r="H11" s="158">
        <f>'Data input'!H18</f>
        <v>0</v>
      </c>
      <c r="I11" s="158" t="str">
        <f>'Data input'!I18</f>
        <v>kg/day</v>
      </c>
      <c r="J11" s="15"/>
      <c r="K11" s="20" t="s">
        <v>317</v>
      </c>
      <c r="L11" s="18"/>
      <c r="M11" s="20" t="s">
        <v>148</v>
      </c>
      <c r="N11" s="20"/>
      <c r="O11" s="97"/>
      <c r="P11" s="97"/>
      <c r="Q11" s="97"/>
      <c r="R11" s="97"/>
      <c r="S11" s="216"/>
    </row>
    <row r="12" spans="1:19" ht="15.75">
      <c r="A12" s="15"/>
      <c r="B12" s="163"/>
      <c r="C12" s="163" t="s">
        <v>299</v>
      </c>
      <c r="D12" s="158">
        <f>'Data input'!D19</f>
        <v>0</v>
      </c>
      <c r="E12" s="158">
        <f>'Data input'!E19</f>
        <v>1</v>
      </c>
      <c r="F12" s="158">
        <f>'Data input'!F19</f>
        <v>1</v>
      </c>
      <c r="G12" s="158">
        <f>'Data input'!G19</f>
        <v>0</v>
      </c>
      <c r="H12" s="158">
        <f>'Data input'!H19</f>
        <v>0</v>
      </c>
      <c r="I12" s="158" t="str">
        <f>'Data input'!I19</f>
        <v>kg/day</v>
      </c>
      <c r="J12" s="15"/>
      <c r="K12" s="97"/>
      <c r="L12" s="97"/>
      <c r="M12" s="20" t="s">
        <v>306</v>
      </c>
      <c r="N12" s="97"/>
      <c r="O12" s="97"/>
      <c r="P12" s="97"/>
      <c r="Q12" s="97"/>
      <c r="R12" s="97"/>
      <c r="S12" s="215" t="s">
        <v>318</v>
      </c>
    </row>
    <row r="13" spans="1:19" ht="15.75">
      <c r="A13" s="15"/>
      <c r="B13" s="163"/>
      <c r="C13" s="163" t="s">
        <v>300</v>
      </c>
      <c r="D13" s="158">
        <f>'Data input'!D20</f>
        <v>-0.3</v>
      </c>
      <c r="E13" s="158">
        <f>'Data input'!E20</f>
        <v>1</v>
      </c>
      <c r="F13" s="158">
        <f>'Data input'!F20</f>
        <v>1</v>
      </c>
      <c r="G13" s="158">
        <f>'Data input'!G20</f>
        <v>0</v>
      </c>
      <c r="H13" s="158">
        <f>'Data input'!H20</f>
        <v>0</v>
      </c>
      <c r="I13" s="158" t="str">
        <f>'Data input'!I20</f>
        <v>kg/day</v>
      </c>
      <c r="J13" s="15"/>
      <c r="K13" s="97"/>
      <c r="L13" s="97" t="s">
        <v>297</v>
      </c>
      <c r="M13" s="99">
        <f aca="true" t="shared" si="0" ref="M13:Q16">D25*3.054/0.6/(0.00795*D20-0.0014)/$C$30</f>
        <v>13.308365309714084</v>
      </c>
      <c r="N13" s="99">
        <f t="shared" si="0"/>
        <v>0</v>
      </c>
      <c r="O13" s="99">
        <f t="shared" si="0"/>
        <v>0</v>
      </c>
      <c r="P13" s="99">
        <f t="shared" si="0"/>
        <v>0</v>
      </c>
      <c r="Q13" s="99">
        <f t="shared" si="0"/>
        <v>0</v>
      </c>
      <c r="R13" s="18" t="s">
        <v>315</v>
      </c>
      <c r="S13" s="216"/>
    </row>
    <row r="14" spans="2:19" ht="15.75">
      <c r="B14" s="163"/>
      <c r="C14" s="163"/>
      <c r="D14" s="158"/>
      <c r="E14" s="158"/>
      <c r="F14" s="158"/>
      <c r="G14" s="158"/>
      <c r="H14" s="158"/>
      <c r="I14" s="158"/>
      <c r="J14" s="15"/>
      <c r="K14" s="97"/>
      <c r="L14" s="97" t="s">
        <v>298</v>
      </c>
      <c r="M14" s="99">
        <f t="shared" si="0"/>
        <v>12.45858560541383</v>
      </c>
      <c r="N14" s="99">
        <f t="shared" si="0"/>
        <v>0</v>
      </c>
      <c r="O14" s="99">
        <f t="shared" si="0"/>
        <v>0</v>
      </c>
      <c r="P14" s="99">
        <f t="shared" si="0"/>
        <v>0</v>
      </c>
      <c r="Q14" s="99">
        <f t="shared" si="0"/>
        <v>0</v>
      </c>
      <c r="R14" s="18" t="s">
        <v>315</v>
      </c>
      <c r="S14" s="216"/>
    </row>
    <row r="15" spans="2:19" ht="15.75">
      <c r="B15" s="162" t="s">
        <v>124</v>
      </c>
      <c r="C15" s="163" t="s">
        <v>297</v>
      </c>
      <c r="D15" s="158">
        <f>'Data input'!D11</f>
        <v>500</v>
      </c>
      <c r="E15" s="158">
        <f>'Data input'!E11</f>
        <v>200</v>
      </c>
      <c r="F15" s="158">
        <f>'Data input'!F11</f>
        <v>100</v>
      </c>
      <c r="G15" s="158">
        <f>'Data input'!G11</f>
        <v>600</v>
      </c>
      <c r="H15" s="158">
        <f>'Data input'!H11</f>
        <v>0</v>
      </c>
      <c r="I15" s="158" t="str">
        <f>'Data input'!I11</f>
        <v>kg/head</v>
      </c>
      <c r="J15" s="15"/>
      <c r="K15" s="97"/>
      <c r="L15" s="97" t="s">
        <v>299</v>
      </c>
      <c r="M15" s="99">
        <f t="shared" si="0"/>
        <v>10.130921314520766</v>
      </c>
      <c r="N15" s="99">
        <f t="shared" si="0"/>
        <v>0</v>
      </c>
      <c r="O15" s="99">
        <f t="shared" si="0"/>
        <v>0</v>
      </c>
      <c r="P15" s="99">
        <f t="shared" si="0"/>
        <v>0</v>
      </c>
      <c r="Q15" s="99">
        <f t="shared" si="0"/>
        <v>0</v>
      </c>
      <c r="R15" s="18" t="s">
        <v>315</v>
      </c>
      <c r="S15" s="216"/>
    </row>
    <row r="16" spans="2:19" ht="15.75">
      <c r="B16" s="163"/>
      <c r="C16" s="163" t="s">
        <v>298</v>
      </c>
      <c r="D16" s="158">
        <f>'Data input'!D12</f>
        <v>640</v>
      </c>
      <c r="E16" s="158">
        <f>'Data input'!E12</f>
        <v>200</v>
      </c>
      <c r="F16" s="158">
        <f>'Data input'!F12</f>
        <v>100</v>
      </c>
      <c r="G16" s="158">
        <f>'Data input'!G12</f>
        <v>600</v>
      </c>
      <c r="H16" s="158">
        <f>'Data input'!H12</f>
        <v>0</v>
      </c>
      <c r="I16" s="158" t="str">
        <f>'Data input'!I12</f>
        <v>kg/head</v>
      </c>
      <c r="J16" s="15"/>
      <c r="K16" s="97"/>
      <c r="L16" s="97" t="s">
        <v>300</v>
      </c>
      <c r="M16" s="99">
        <f t="shared" si="0"/>
        <v>2.3252116901959203</v>
      </c>
      <c r="N16" s="99">
        <f t="shared" si="0"/>
        <v>0</v>
      </c>
      <c r="O16" s="99">
        <f t="shared" si="0"/>
        <v>0</v>
      </c>
      <c r="P16" s="99">
        <f t="shared" si="0"/>
        <v>0</v>
      </c>
      <c r="Q16" s="99">
        <f t="shared" si="0"/>
        <v>0</v>
      </c>
      <c r="R16" s="18" t="s">
        <v>315</v>
      </c>
      <c r="S16" s="216"/>
    </row>
    <row r="17" spans="2:19" ht="15.75">
      <c r="B17" s="163"/>
      <c r="C17" s="163" t="s">
        <v>299</v>
      </c>
      <c r="D17" s="158">
        <f>'Data input'!D13</f>
        <v>560</v>
      </c>
      <c r="E17" s="158">
        <f>'Data input'!E13</f>
        <v>200</v>
      </c>
      <c r="F17" s="158">
        <f>'Data input'!F13</f>
        <v>100</v>
      </c>
      <c r="G17" s="158">
        <f>'Data input'!G13</f>
        <v>600</v>
      </c>
      <c r="H17" s="158">
        <f>'Data input'!H13</f>
        <v>0</v>
      </c>
      <c r="I17" s="158" t="str">
        <f>'Data input'!I13</f>
        <v>kg/head</v>
      </c>
      <c r="J17" s="15"/>
      <c r="K17" s="97"/>
      <c r="L17" s="97"/>
      <c r="M17" s="97"/>
      <c r="N17" s="97"/>
      <c r="O17" s="97"/>
      <c r="P17" s="97"/>
      <c r="Q17" s="97"/>
      <c r="R17" s="97"/>
      <c r="S17" s="216"/>
    </row>
    <row r="18" spans="2:19" ht="15.75">
      <c r="B18" s="163"/>
      <c r="C18" s="163" t="s">
        <v>300</v>
      </c>
      <c r="D18" s="158">
        <f>'Data input'!D14</f>
        <v>485</v>
      </c>
      <c r="E18" s="158">
        <f>'Data input'!E14</f>
        <v>200</v>
      </c>
      <c r="F18" s="158">
        <f>'Data input'!F14</f>
        <v>100</v>
      </c>
      <c r="G18" s="158">
        <f>'Data input'!G14</f>
        <v>600</v>
      </c>
      <c r="H18" s="158">
        <f>'Data input'!H14</f>
        <v>0</v>
      </c>
      <c r="I18" s="158" t="str">
        <f>'Data input'!I14</f>
        <v>kg/head</v>
      </c>
      <c r="J18" s="15"/>
      <c r="K18" s="20" t="s">
        <v>157</v>
      </c>
      <c r="L18" s="18"/>
      <c r="M18" s="21" t="s">
        <v>143</v>
      </c>
      <c r="N18" s="97"/>
      <c r="O18" s="97"/>
      <c r="P18" s="97"/>
      <c r="Q18" s="97"/>
      <c r="R18" s="97"/>
      <c r="S18" s="215" t="s">
        <v>319</v>
      </c>
    </row>
    <row r="19" spans="2:19" ht="15.75">
      <c r="B19" s="163"/>
      <c r="C19" s="163"/>
      <c r="D19" s="158"/>
      <c r="E19" s="158"/>
      <c r="F19" s="158"/>
      <c r="G19" s="158"/>
      <c r="H19" s="158"/>
      <c r="I19" s="158"/>
      <c r="J19" s="15"/>
      <c r="K19" s="97"/>
      <c r="L19" s="97" t="s">
        <v>297</v>
      </c>
      <c r="M19" s="99">
        <f aca="true" t="shared" si="1" ref="M19:Q22">M6*$C$30</f>
        <v>404.12274769873915</v>
      </c>
      <c r="N19" s="99">
        <f t="shared" si="1"/>
        <v>97.67485439999999</v>
      </c>
      <c r="O19" s="99">
        <f t="shared" si="1"/>
        <v>68.39618559999998</v>
      </c>
      <c r="P19" s="99">
        <f t="shared" si="1"/>
        <v>162.63261359999996</v>
      </c>
      <c r="Q19" s="99">
        <f t="shared" si="1"/>
        <v>25.83774</v>
      </c>
      <c r="R19" s="18" t="s">
        <v>32</v>
      </c>
      <c r="S19" s="216"/>
    </row>
    <row r="20" spans="2:19" ht="15.75">
      <c r="B20" s="162" t="s">
        <v>150</v>
      </c>
      <c r="C20" s="163" t="s">
        <v>297</v>
      </c>
      <c r="D20" s="158">
        <f>'Data input'!D29</f>
        <v>76</v>
      </c>
      <c r="E20" s="158">
        <f>'Data input'!E29</f>
        <v>76</v>
      </c>
      <c r="F20" s="158">
        <f>'Data input'!F29</f>
        <v>76</v>
      </c>
      <c r="G20" s="158">
        <f>'Data input'!G29</f>
        <v>76</v>
      </c>
      <c r="H20" s="158">
        <f>'Data input'!H29</f>
        <v>76</v>
      </c>
      <c r="I20" s="158" t="str">
        <f>'Data input'!I29</f>
        <v>%</v>
      </c>
      <c r="J20" s="15"/>
      <c r="K20" s="97"/>
      <c r="L20" s="97" t="s">
        <v>298</v>
      </c>
      <c r="M20" s="99">
        <f t="shared" si="1"/>
        <v>414.5250027099185</v>
      </c>
      <c r="N20" s="99">
        <f t="shared" si="1"/>
        <v>97.67485439999999</v>
      </c>
      <c r="O20" s="99">
        <f t="shared" si="1"/>
        <v>68.39618559999998</v>
      </c>
      <c r="P20" s="99">
        <f t="shared" si="1"/>
        <v>162.63261359999996</v>
      </c>
      <c r="Q20" s="99">
        <f t="shared" si="1"/>
        <v>25.83774</v>
      </c>
      <c r="R20" s="18" t="s">
        <v>32</v>
      </c>
      <c r="S20" s="216"/>
    </row>
    <row r="21" spans="2:19" ht="15.75">
      <c r="B21" s="163"/>
      <c r="C21" s="163" t="s">
        <v>298</v>
      </c>
      <c r="D21" s="158">
        <f>'Data input'!D30</f>
        <v>70</v>
      </c>
      <c r="E21" s="158">
        <f>'Data input'!E30</f>
        <v>70</v>
      </c>
      <c r="F21" s="158">
        <f>'Data input'!F30</f>
        <v>70</v>
      </c>
      <c r="G21" s="158">
        <f>'Data input'!G30</f>
        <v>70</v>
      </c>
      <c r="H21" s="158">
        <f>'Data input'!H30</f>
        <v>70</v>
      </c>
      <c r="I21" s="158" t="str">
        <f>'Data input'!I30</f>
        <v>%</v>
      </c>
      <c r="J21" s="15"/>
      <c r="K21" s="97"/>
      <c r="L21" s="97" t="s">
        <v>299</v>
      </c>
      <c r="M21" s="99">
        <f t="shared" si="1"/>
        <v>358.043685889966</v>
      </c>
      <c r="N21" s="99">
        <f t="shared" si="1"/>
        <v>97.67485439999999</v>
      </c>
      <c r="O21" s="99">
        <f t="shared" si="1"/>
        <v>68.39618559999998</v>
      </c>
      <c r="P21" s="99">
        <f t="shared" si="1"/>
        <v>162.63261359999996</v>
      </c>
      <c r="Q21" s="99">
        <f t="shared" si="1"/>
        <v>25.83774</v>
      </c>
      <c r="R21" s="18" t="s">
        <v>32</v>
      </c>
      <c r="S21" s="216"/>
    </row>
    <row r="22" spans="2:19" ht="15.75">
      <c r="B22" s="163"/>
      <c r="C22" s="163" t="s">
        <v>299</v>
      </c>
      <c r="D22" s="158">
        <f>'Data input'!D31</f>
        <v>62</v>
      </c>
      <c r="E22" s="158">
        <f>'Data input'!E31</f>
        <v>62</v>
      </c>
      <c r="F22" s="158">
        <f>'Data input'!F31</f>
        <v>62</v>
      </c>
      <c r="G22" s="158">
        <f>'Data input'!G31</f>
        <v>62</v>
      </c>
      <c r="H22" s="158">
        <f>'Data input'!H31</f>
        <v>62</v>
      </c>
      <c r="I22" s="158" t="str">
        <f>'Data input'!I31</f>
        <v>%</v>
      </c>
      <c r="J22" s="15"/>
      <c r="K22" s="97"/>
      <c r="L22" s="97" t="s">
        <v>300</v>
      </c>
      <c r="M22" s="99">
        <f t="shared" si="1"/>
        <v>188.2441009595189</v>
      </c>
      <c r="N22" s="99">
        <f t="shared" si="1"/>
        <v>97.67485439999999</v>
      </c>
      <c r="O22" s="99">
        <f t="shared" si="1"/>
        <v>68.39618559999998</v>
      </c>
      <c r="P22" s="99">
        <f t="shared" si="1"/>
        <v>162.63261359999996</v>
      </c>
      <c r="Q22" s="99">
        <f t="shared" si="1"/>
        <v>25.83774</v>
      </c>
      <c r="R22" s="18" t="s">
        <v>32</v>
      </c>
      <c r="S22" s="216"/>
    </row>
    <row r="23" spans="2:19" ht="15.75">
      <c r="B23" s="163"/>
      <c r="C23" s="163" t="s">
        <v>300</v>
      </c>
      <c r="D23" s="158">
        <f>'Data input'!D32</f>
        <v>75</v>
      </c>
      <c r="E23" s="158">
        <f>'Data input'!E32</f>
        <v>75</v>
      </c>
      <c r="F23" s="158">
        <f>'Data input'!F32</f>
        <v>75</v>
      </c>
      <c r="G23" s="158">
        <f>'Data input'!G32</f>
        <v>75</v>
      </c>
      <c r="H23" s="158">
        <f>'Data input'!H32</f>
        <v>75</v>
      </c>
      <c r="I23" s="158" t="str">
        <f>'Data input'!I32</f>
        <v>%</v>
      </c>
      <c r="J23" s="15"/>
      <c r="K23" s="97"/>
      <c r="L23" s="97"/>
      <c r="M23" s="97"/>
      <c r="N23" s="97"/>
      <c r="O23" s="97"/>
      <c r="P23" s="97"/>
      <c r="Q23" s="97"/>
      <c r="R23" s="97"/>
      <c r="S23" s="216"/>
    </row>
    <row r="24" spans="2:19" ht="15.75">
      <c r="B24" s="163"/>
      <c r="C24" s="163"/>
      <c r="D24" s="158"/>
      <c r="E24" s="158"/>
      <c r="F24" s="158"/>
      <c r="G24" s="158"/>
      <c r="H24" s="158"/>
      <c r="I24" s="158"/>
      <c r="J24" s="15"/>
      <c r="K24" s="20" t="s">
        <v>33</v>
      </c>
      <c r="L24" s="18"/>
      <c r="M24" s="20" t="s">
        <v>307</v>
      </c>
      <c r="N24" s="18"/>
      <c r="O24" s="18"/>
      <c r="P24" s="18"/>
      <c r="Q24" s="97"/>
      <c r="R24" s="97"/>
      <c r="S24" s="215" t="s">
        <v>320</v>
      </c>
    </row>
    <row r="25" spans="2:19" ht="15.75">
      <c r="B25" s="162" t="s">
        <v>156</v>
      </c>
      <c r="C25" s="163" t="s">
        <v>297</v>
      </c>
      <c r="D25" s="158">
        <f>'Data input'!D35</f>
        <v>29</v>
      </c>
      <c r="E25" s="158">
        <f>'Data input'!E35</f>
        <v>0</v>
      </c>
      <c r="F25" s="158">
        <f>'Data input'!F35</f>
        <v>0</v>
      </c>
      <c r="G25" s="158">
        <f>'Data input'!G35</f>
        <v>0</v>
      </c>
      <c r="H25" s="158">
        <f>'Data input'!H35</f>
        <v>0</v>
      </c>
      <c r="I25" s="158" t="str">
        <f>'Data input'!I35</f>
        <v>L/day/head</v>
      </c>
      <c r="J25" s="15"/>
      <c r="K25" s="97"/>
      <c r="L25" s="97" t="s">
        <v>297</v>
      </c>
      <c r="M25" s="99">
        <f aca="true" t="shared" si="2" ref="M25:Q28">M6/(1.185+(0.00454*D15)-(0.0000026*(D15)^2)+((0.315*0)))^2</f>
        <v>2.791449291240697</v>
      </c>
      <c r="N25" s="99">
        <f t="shared" si="2"/>
        <v>1.3418234679879608</v>
      </c>
      <c r="O25" s="99">
        <f t="shared" si="2"/>
        <v>1.428714078767177</v>
      </c>
      <c r="P25" s="99">
        <f t="shared" si="2"/>
        <v>1</v>
      </c>
      <c r="Q25" s="99">
        <f t="shared" si="2"/>
        <v>1</v>
      </c>
      <c r="R25" s="18" t="s">
        <v>315</v>
      </c>
      <c r="S25" s="216"/>
    </row>
    <row r="26" spans="2:19" ht="15.75">
      <c r="B26" s="163"/>
      <c r="C26" s="163" t="s">
        <v>298</v>
      </c>
      <c r="D26" s="158">
        <f>'Data input'!D36</f>
        <v>25</v>
      </c>
      <c r="E26" s="158">
        <f>'Data input'!E36</f>
        <v>0</v>
      </c>
      <c r="F26" s="158">
        <f>'Data input'!F36</f>
        <v>0</v>
      </c>
      <c r="G26" s="158">
        <f>'Data input'!G36</f>
        <v>0</v>
      </c>
      <c r="H26" s="158">
        <f>'Data input'!H36</f>
        <v>0</v>
      </c>
      <c r="I26" s="158" t="str">
        <f>'Data input'!I36</f>
        <v>L/day/head</v>
      </c>
      <c r="J26" s="15"/>
      <c r="K26" s="97"/>
      <c r="L26" s="97" t="s">
        <v>298</v>
      </c>
      <c r="M26" s="99">
        <f t="shared" si="2"/>
        <v>2.4609251330770983</v>
      </c>
      <c r="N26" s="99">
        <f t="shared" si="2"/>
        <v>1.3418234679879608</v>
      </c>
      <c r="O26" s="99">
        <f t="shared" si="2"/>
        <v>1.428714078767177</v>
      </c>
      <c r="P26" s="99">
        <f t="shared" si="2"/>
        <v>1</v>
      </c>
      <c r="Q26" s="99">
        <f t="shared" si="2"/>
        <v>1</v>
      </c>
      <c r="R26" s="18" t="s">
        <v>315</v>
      </c>
      <c r="S26" s="216"/>
    </row>
    <row r="27" spans="2:19" ht="15.75">
      <c r="B27" s="163"/>
      <c r="C27" s="163" t="s">
        <v>299</v>
      </c>
      <c r="D27" s="158">
        <f>'Data input'!D37</f>
        <v>18</v>
      </c>
      <c r="E27" s="158">
        <f>'Data input'!E37</f>
        <v>0</v>
      </c>
      <c r="F27" s="158">
        <f>'Data input'!F37</f>
        <v>0</v>
      </c>
      <c r="G27" s="158">
        <f>'Data input'!G37</f>
        <v>0</v>
      </c>
      <c r="H27" s="158">
        <f>'Data input'!H37</f>
        <v>0</v>
      </c>
      <c r="I27" s="158" t="str">
        <f>'Data input'!I37</f>
        <v>L/day/head</v>
      </c>
      <c r="J27" s="15"/>
      <c r="K27" s="97"/>
      <c r="L27" s="97" t="s">
        <v>299</v>
      </c>
      <c r="M27" s="99">
        <f t="shared" si="2"/>
        <v>2.2946873629960036</v>
      </c>
      <c r="N27" s="99">
        <f t="shared" si="2"/>
        <v>1.3418234679879608</v>
      </c>
      <c r="O27" s="99">
        <f t="shared" si="2"/>
        <v>1.428714078767177</v>
      </c>
      <c r="P27" s="99">
        <f t="shared" si="2"/>
        <v>1</v>
      </c>
      <c r="Q27" s="99">
        <f t="shared" si="2"/>
        <v>1</v>
      </c>
      <c r="R27" s="18" t="s">
        <v>315</v>
      </c>
      <c r="S27" s="216"/>
    </row>
    <row r="28" spans="2:19" ht="15.75">
      <c r="B28" s="163"/>
      <c r="C28" s="163" t="s">
        <v>300</v>
      </c>
      <c r="D28" s="158">
        <f>'Data input'!D38</f>
        <v>5</v>
      </c>
      <c r="E28" s="158">
        <f>'Data input'!E38</f>
        <v>0</v>
      </c>
      <c r="F28" s="158">
        <f>'Data input'!F38</f>
        <v>0</v>
      </c>
      <c r="G28" s="158">
        <f>'Data input'!G38</f>
        <v>0</v>
      </c>
      <c r="H28" s="158">
        <f>'Data input'!H38</f>
        <v>0</v>
      </c>
      <c r="I28" s="158" t="str">
        <f>'Data input'!I38</f>
        <v>L/day/head</v>
      </c>
      <c r="J28" s="15"/>
      <c r="K28" s="97"/>
      <c r="L28" s="97" t="s">
        <v>300</v>
      </c>
      <c r="M28" s="99">
        <f t="shared" si="2"/>
        <v>1.328247437119211</v>
      </c>
      <c r="N28" s="99">
        <f t="shared" si="2"/>
        <v>1.3418234679879608</v>
      </c>
      <c r="O28" s="99">
        <f t="shared" si="2"/>
        <v>1.428714078767177</v>
      </c>
      <c r="P28" s="99">
        <f t="shared" si="2"/>
        <v>1</v>
      </c>
      <c r="Q28" s="99">
        <f t="shared" si="2"/>
        <v>1</v>
      </c>
      <c r="R28" s="18" t="s">
        <v>315</v>
      </c>
      <c r="S28" s="216"/>
    </row>
    <row r="29" spans="2:19" ht="15.75">
      <c r="B29" s="163"/>
      <c r="C29" s="163"/>
      <c r="D29" s="158"/>
      <c r="E29" s="158"/>
      <c r="F29" s="158"/>
      <c r="G29" s="158"/>
      <c r="H29" s="158"/>
      <c r="I29" s="158"/>
      <c r="J29" s="15"/>
      <c r="K29" s="97"/>
      <c r="L29" s="97"/>
      <c r="M29" s="97"/>
      <c r="N29" s="97"/>
      <c r="O29" s="97"/>
      <c r="P29" s="97"/>
      <c r="Q29" s="97"/>
      <c r="R29" s="97"/>
      <c r="S29" s="216"/>
    </row>
    <row r="30" spans="2:19" ht="15.75">
      <c r="B30" s="162" t="s">
        <v>30</v>
      </c>
      <c r="C30" s="158">
        <v>18.4</v>
      </c>
      <c r="D30" s="97"/>
      <c r="E30" s="158"/>
      <c r="F30" s="158"/>
      <c r="G30" s="158"/>
      <c r="H30" s="158"/>
      <c r="I30" s="160" t="s">
        <v>28</v>
      </c>
      <c r="J30" s="15"/>
      <c r="K30" s="20" t="s">
        <v>453</v>
      </c>
      <c r="L30" s="18"/>
      <c r="M30" s="20" t="s">
        <v>308</v>
      </c>
      <c r="N30" s="18"/>
      <c r="O30" s="18"/>
      <c r="P30" s="97"/>
      <c r="Q30" s="97"/>
      <c r="R30" s="97"/>
      <c r="S30" s="215" t="s">
        <v>321</v>
      </c>
    </row>
    <row r="31" spans="2:19" ht="15.75">
      <c r="B31" s="163"/>
      <c r="C31" s="163"/>
      <c r="D31" s="158"/>
      <c r="E31" s="158"/>
      <c r="F31" s="158"/>
      <c r="G31" s="158"/>
      <c r="H31" s="158"/>
      <c r="I31" s="160"/>
      <c r="J31" s="15"/>
      <c r="K31" s="97"/>
      <c r="L31" s="97" t="s">
        <v>297</v>
      </c>
      <c r="M31" s="99">
        <f aca="true" t="shared" si="3" ref="M31:Q34">1.3+(0.112*D20)+M25*(2.37-(0.05*D20))</f>
        <v>5.820227513525804</v>
      </c>
      <c r="N31" s="99">
        <f t="shared" si="3"/>
        <v>7.8931924407772165</v>
      </c>
      <c r="O31" s="99">
        <f t="shared" si="3"/>
        <v>7.768938867362937</v>
      </c>
      <c r="P31" s="99">
        <f t="shared" si="3"/>
        <v>8.382000000000001</v>
      </c>
      <c r="Q31" s="99">
        <f t="shared" si="3"/>
        <v>8.382000000000001</v>
      </c>
      <c r="R31" s="97" t="s">
        <v>454</v>
      </c>
      <c r="S31" s="216"/>
    </row>
    <row r="32" spans="2:19" ht="15.75">
      <c r="B32" s="162" t="s">
        <v>153</v>
      </c>
      <c r="C32" s="235"/>
      <c r="D32" s="236">
        <v>1.1</v>
      </c>
      <c r="E32" s="236">
        <v>1</v>
      </c>
      <c r="F32" s="236">
        <v>1</v>
      </c>
      <c r="G32" s="236">
        <v>1</v>
      </c>
      <c r="H32" s="236">
        <v>1</v>
      </c>
      <c r="I32" s="160"/>
      <c r="J32" s="15"/>
      <c r="K32" s="97"/>
      <c r="L32" s="97" t="s">
        <v>298</v>
      </c>
      <c r="M32" s="99">
        <f t="shared" si="3"/>
        <v>6.3591545996228795</v>
      </c>
      <c r="N32" s="99">
        <f t="shared" si="3"/>
        <v>7.623739481173605</v>
      </c>
      <c r="O32" s="99">
        <f t="shared" si="3"/>
        <v>7.525553090993091</v>
      </c>
      <c r="P32" s="99">
        <f t="shared" si="3"/>
        <v>8.010000000000002</v>
      </c>
      <c r="Q32" s="99">
        <f t="shared" si="3"/>
        <v>8.010000000000002</v>
      </c>
      <c r="R32" s="97" t="s">
        <v>454</v>
      </c>
      <c r="S32" s="216"/>
    </row>
    <row r="33" spans="2:19" ht="15.75">
      <c r="B33" s="237"/>
      <c r="C33" s="237"/>
      <c r="D33" s="238"/>
      <c r="E33" s="238"/>
      <c r="F33" s="238"/>
      <c r="G33" s="238"/>
      <c r="H33" s="238"/>
      <c r="I33" s="239"/>
      <c r="J33" s="15"/>
      <c r="K33" s="97"/>
      <c r="L33" s="97" t="s">
        <v>299</v>
      </c>
      <c r="M33" s="99">
        <f t="shared" si="3"/>
        <v>6.568878225012917</v>
      </c>
      <c r="N33" s="99">
        <f t="shared" si="3"/>
        <v>7.264468868368788</v>
      </c>
      <c r="O33" s="99">
        <f t="shared" si="3"/>
        <v>7.201038722499961</v>
      </c>
      <c r="P33" s="99">
        <f t="shared" si="3"/>
        <v>7.513999999999999</v>
      </c>
      <c r="Q33" s="99">
        <f t="shared" si="3"/>
        <v>7.513999999999999</v>
      </c>
      <c r="R33" s="97" t="s">
        <v>454</v>
      </c>
      <c r="S33" s="216"/>
    </row>
    <row r="34" spans="10:19" ht="15.75">
      <c r="J34" s="15"/>
      <c r="K34" s="97"/>
      <c r="L34" s="97" t="s">
        <v>300</v>
      </c>
      <c r="M34" s="99">
        <f t="shared" si="3"/>
        <v>7.86701853677549</v>
      </c>
      <c r="N34" s="99">
        <f t="shared" si="3"/>
        <v>7.848283614176616</v>
      </c>
      <c r="O34" s="99">
        <f t="shared" si="3"/>
        <v>7.728374571301297</v>
      </c>
      <c r="P34" s="99">
        <f t="shared" si="3"/>
        <v>8.32</v>
      </c>
      <c r="Q34" s="99">
        <f t="shared" si="3"/>
        <v>8.32</v>
      </c>
      <c r="R34" s="97" t="s">
        <v>454</v>
      </c>
      <c r="S34" s="216"/>
    </row>
    <row r="35" spans="10:19" ht="15.75">
      <c r="J35" s="15"/>
      <c r="K35" s="97"/>
      <c r="L35" s="97"/>
      <c r="M35" s="97"/>
      <c r="N35" s="97"/>
      <c r="O35" s="97"/>
      <c r="P35" s="97"/>
      <c r="Q35" s="97"/>
      <c r="R35" s="97"/>
      <c r="S35" s="216"/>
    </row>
    <row r="36" spans="10:19" ht="15.75">
      <c r="J36" s="15"/>
      <c r="K36" s="20" t="s">
        <v>511</v>
      </c>
      <c r="L36" s="97"/>
      <c r="M36" s="20" t="s">
        <v>34</v>
      </c>
      <c r="N36" s="18"/>
      <c r="O36" s="97"/>
      <c r="P36" s="97"/>
      <c r="Q36" s="97"/>
      <c r="R36" s="97"/>
      <c r="S36" s="215" t="s">
        <v>322</v>
      </c>
    </row>
    <row r="37" spans="10:19" ht="15.75">
      <c r="J37" s="15"/>
      <c r="K37" s="97"/>
      <c r="L37" s="97"/>
      <c r="M37" s="20" t="s">
        <v>158</v>
      </c>
      <c r="N37" s="18"/>
      <c r="O37" s="18"/>
      <c r="P37" s="97"/>
      <c r="Q37" s="97"/>
      <c r="R37" s="97"/>
      <c r="S37" s="216"/>
    </row>
    <row r="38" spans="10:19" ht="15.75">
      <c r="J38" s="15"/>
      <c r="K38" s="97"/>
      <c r="L38" s="97" t="s">
        <v>297</v>
      </c>
      <c r="M38" s="19">
        <f aca="true" t="shared" si="4" ref="M38:Q41">M31/100*M19/55.22</f>
        <v>0.4259482678373503</v>
      </c>
      <c r="N38" s="19">
        <f t="shared" si="4"/>
        <v>0.1396172441876304</v>
      </c>
      <c r="O38" s="19">
        <f t="shared" si="4"/>
        <v>0.09622705264165322</v>
      </c>
      <c r="P38" s="19">
        <f t="shared" si="4"/>
        <v>0.24686464454820717</v>
      </c>
      <c r="Q38" s="19">
        <f t="shared" si="4"/>
        <v>0.03921983641434264</v>
      </c>
      <c r="R38" s="18" t="s">
        <v>159</v>
      </c>
      <c r="S38" s="216"/>
    </row>
    <row r="39" spans="2:19" ht="15.75">
      <c r="B39" s="170"/>
      <c r="C39" s="170"/>
      <c r="D39" s="171"/>
      <c r="E39" s="171"/>
      <c r="F39" s="171"/>
      <c r="G39" s="171"/>
      <c r="H39" s="171"/>
      <c r="I39" s="171"/>
      <c r="J39" s="15"/>
      <c r="K39" s="97"/>
      <c r="L39" s="97" t="s">
        <v>298</v>
      </c>
      <c r="M39" s="19">
        <f t="shared" si="4"/>
        <v>0.4773684494098995</v>
      </c>
      <c r="N39" s="19">
        <f t="shared" si="4"/>
        <v>0.13485107638666483</v>
      </c>
      <c r="O39" s="19">
        <f t="shared" si="4"/>
        <v>0.09321244584466082</v>
      </c>
      <c r="P39" s="19">
        <f t="shared" si="4"/>
        <v>0.23590859017312568</v>
      </c>
      <c r="Q39" s="19">
        <f t="shared" si="4"/>
        <v>0.03747922806954003</v>
      </c>
      <c r="R39" s="18" t="s">
        <v>159</v>
      </c>
      <c r="S39" s="216"/>
    </row>
    <row r="40" spans="2:19" ht="15.75">
      <c r="B40" s="12"/>
      <c r="C40" s="12"/>
      <c r="D40" s="12"/>
      <c r="E40" s="12"/>
      <c r="F40" s="12"/>
      <c r="G40" s="12"/>
      <c r="H40" s="12"/>
      <c r="I40" s="171"/>
      <c r="J40" s="15"/>
      <c r="K40" s="97"/>
      <c r="L40" s="97" t="s">
        <v>299</v>
      </c>
      <c r="M40" s="19">
        <f t="shared" si="4"/>
        <v>0.42592274028358607</v>
      </c>
      <c r="N40" s="19">
        <f t="shared" si="4"/>
        <v>0.12849618598537743</v>
      </c>
      <c r="O40" s="19">
        <f t="shared" si="4"/>
        <v>0.08919297011533757</v>
      </c>
      <c r="P40" s="19">
        <f t="shared" si="4"/>
        <v>0.22130051767301695</v>
      </c>
      <c r="Q40" s="19">
        <f t="shared" si="4"/>
        <v>0.035158416943136546</v>
      </c>
      <c r="R40" s="18" t="s">
        <v>159</v>
      </c>
      <c r="S40" s="216"/>
    </row>
    <row r="41" spans="2:19" ht="15.75">
      <c r="B41" s="172"/>
      <c r="C41" s="170"/>
      <c r="D41" s="171"/>
      <c r="E41" s="171"/>
      <c r="F41" s="171"/>
      <c r="G41" s="171"/>
      <c r="H41" s="171"/>
      <c r="I41" s="171"/>
      <c r="J41" s="15"/>
      <c r="K41" s="97"/>
      <c r="L41" s="97" t="s">
        <v>300</v>
      </c>
      <c r="M41" s="19">
        <f t="shared" si="4"/>
        <v>0.26818540957753934</v>
      </c>
      <c r="N41" s="19">
        <f t="shared" si="4"/>
        <v>0.13882288288746952</v>
      </c>
      <c r="O41" s="19">
        <f t="shared" si="4"/>
        <v>0.09572461817548783</v>
      </c>
      <c r="P41" s="19">
        <f t="shared" si="4"/>
        <v>0.24503863548569352</v>
      </c>
      <c r="Q41" s="19">
        <f t="shared" si="4"/>
        <v>0.03892973502354219</v>
      </c>
      <c r="R41" s="18" t="s">
        <v>159</v>
      </c>
      <c r="S41" s="216"/>
    </row>
    <row r="42" spans="2:19" ht="15.75">
      <c r="B42" s="172"/>
      <c r="C42" s="170"/>
      <c r="D42" s="171"/>
      <c r="E42" s="171"/>
      <c r="F42" s="171"/>
      <c r="G42" s="171"/>
      <c r="H42" s="171"/>
      <c r="I42" s="171"/>
      <c r="J42" s="15"/>
      <c r="K42" s="97"/>
      <c r="L42" s="103"/>
      <c r="M42" s="19"/>
      <c r="N42" s="19"/>
      <c r="O42" s="19"/>
      <c r="P42" s="19"/>
      <c r="Q42" s="19"/>
      <c r="R42" s="18"/>
      <c r="S42" s="216"/>
    </row>
    <row r="43" spans="2:19" ht="15.75">
      <c r="B43" s="172"/>
      <c r="C43" s="170"/>
      <c r="D43" s="171"/>
      <c r="E43" s="171"/>
      <c r="F43" s="171"/>
      <c r="G43" s="171"/>
      <c r="H43" s="171"/>
      <c r="I43" s="171"/>
      <c r="J43" s="15"/>
      <c r="K43" s="97"/>
      <c r="L43" s="97"/>
      <c r="M43" s="97"/>
      <c r="N43" s="97"/>
      <c r="O43" s="97"/>
      <c r="P43" s="97"/>
      <c r="Q43" s="97"/>
      <c r="R43" s="97"/>
      <c r="S43" s="216"/>
    </row>
    <row r="44" spans="2:19" ht="15.75">
      <c r="B44" s="172"/>
      <c r="C44" s="170"/>
      <c r="D44" s="171"/>
      <c r="E44" s="171"/>
      <c r="F44" s="171"/>
      <c r="G44" s="171"/>
      <c r="H44" s="171"/>
      <c r="I44" s="171"/>
      <c r="J44" s="15"/>
      <c r="K44" s="24" t="s">
        <v>160</v>
      </c>
      <c r="L44" s="97"/>
      <c r="M44" s="97"/>
      <c r="N44" s="97"/>
      <c r="O44" s="97"/>
      <c r="P44" s="97"/>
      <c r="Q44" s="97"/>
      <c r="R44" s="97"/>
      <c r="S44" s="216"/>
    </row>
    <row r="45" spans="10:19" ht="15.75">
      <c r="J45" s="15"/>
      <c r="K45" s="97"/>
      <c r="L45" s="97"/>
      <c r="M45" s="23" t="s">
        <v>326</v>
      </c>
      <c r="N45" s="97"/>
      <c r="O45" s="97"/>
      <c r="P45" s="97"/>
      <c r="Q45" s="97"/>
      <c r="R45" s="97"/>
      <c r="S45" s="215" t="s">
        <v>323</v>
      </c>
    </row>
    <row r="46" spans="10:19" ht="15.75">
      <c r="J46" s="15"/>
      <c r="K46" s="97"/>
      <c r="L46" s="97"/>
      <c r="M46" s="97" t="s">
        <v>325</v>
      </c>
      <c r="N46" s="97"/>
      <c r="O46" s="97"/>
      <c r="P46" s="97"/>
      <c r="Q46" s="97"/>
      <c r="R46" s="97"/>
      <c r="S46" s="216"/>
    </row>
    <row r="47" spans="10:19" ht="15.75">
      <c r="J47" s="15"/>
      <c r="K47" s="97"/>
      <c r="L47" s="97"/>
      <c r="M47" s="97"/>
      <c r="N47" s="97"/>
      <c r="O47" s="97"/>
      <c r="P47" s="97"/>
      <c r="Q47" s="97"/>
      <c r="R47" s="97"/>
      <c r="S47" s="216"/>
    </row>
    <row r="48" spans="10:19" ht="15.75">
      <c r="J48" s="15"/>
      <c r="K48" s="97"/>
      <c r="L48" s="97" t="s">
        <v>297</v>
      </c>
      <c r="M48" s="101">
        <f aca="true" t="shared" si="5" ref="M48:Q51">(91.25*D5*M38)*10^-6</f>
        <v>0.007773555888031643</v>
      </c>
      <c r="N48" s="101">
        <f t="shared" si="5"/>
        <v>0.000509602941284851</v>
      </c>
      <c r="O48" s="101">
        <f t="shared" si="5"/>
        <v>0.0003512287421420343</v>
      </c>
      <c r="P48" s="101">
        <f t="shared" si="5"/>
        <v>4.50527976300478E-05</v>
      </c>
      <c r="Q48" s="101">
        <f t="shared" si="5"/>
        <v>0</v>
      </c>
      <c r="R48" s="97" t="s">
        <v>324</v>
      </c>
      <c r="S48" s="216"/>
    </row>
    <row r="49" spans="1:19" ht="15.75">
      <c r="A49" s="15"/>
      <c r="J49" s="15"/>
      <c r="K49" s="97"/>
      <c r="L49" s="97" t="s">
        <v>298</v>
      </c>
      <c r="M49" s="101">
        <f t="shared" si="5"/>
        <v>0.008711974201730664</v>
      </c>
      <c r="N49" s="101">
        <f t="shared" si="5"/>
        <v>0.0004922064288113265</v>
      </c>
      <c r="O49" s="101">
        <f t="shared" si="5"/>
        <v>0.00034022542733301196</v>
      </c>
      <c r="P49" s="101">
        <f t="shared" si="5"/>
        <v>4.305331770659544E-05</v>
      </c>
      <c r="Q49" s="101">
        <f t="shared" si="5"/>
        <v>0</v>
      </c>
      <c r="R49" s="97" t="s">
        <v>324</v>
      </c>
      <c r="S49" s="216"/>
    </row>
    <row r="50" spans="1:19" ht="15.75">
      <c r="A50" s="14"/>
      <c r="B50" s="12"/>
      <c r="C50" s="12"/>
      <c r="D50" s="12"/>
      <c r="E50" s="12"/>
      <c r="F50" s="12"/>
      <c r="G50" s="12"/>
      <c r="H50" s="12"/>
      <c r="I50" s="12"/>
      <c r="J50" s="15"/>
      <c r="K50" s="97"/>
      <c r="L50" s="97" t="s">
        <v>299</v>
      </c>
      <c r="M50" s="101">
        <f t="shared" si="5"/>
        <v>0.007773090010175445</v>
      </c>
      <c r="N50" s="101">
        <f t="shared" si="5"/>
        <v>0.0004690110788466276</v>
      </c>
      <c r="O50" s="101">
        <f t="shared" si="5"/>
        <v>0.0003255543409209821</v>
      </c>
      <c r="P50" s="101">
        <f t="shared" si="5"/>
        <v>4.038734447532559E-05</v>
      </c>
      <c r="Q50" s="101">
        <f t="shared" si="5"/>
        <v>0</v>
      </c>
      <c r="R50" s="97" t="s">
        <v>324</v>
      </c>
      <c r="S50" s="216"/>
    </row>
    <row r="51" spans="1:19" ht="15.75">
      <c r="A51" s="14"/>
      <c r="C51" s="12"/>
      <c r="D51" s="12"/>
      <c r="E51" s="12"/>
      <c r="F51" s="12"/>
      <c r="G51" s="12"/>
      <c r="H51" s="12"/>
      <c r="I51" s="12"/>
      <c r="J51" s="15"/>
      <c r="K51" s="97"/>
      <c r="L51" s="97" t="s">
        <v>300</v>
      </c>
      <c r="M51" s="101">
        <f t="shared" si="5"/>
        <v>0.004894383724790093</v>
      </c>
      <c r="N51" s="101">
        <f t="shared" si="5"/>
        <v>0.0005067035225392638</v>
      </c>
      <c r="O51" s="101">
        <f t="shared" si="5"/>
        <v>0.00034939485634053055</v>
      </c>
      <c r="P51" s="101">
        <f t="shared" si="5"/>
        <v>4.4719550976139065E-05</v>
      </c>
      <c r="Q51" s="101">
        <f t="shared" si="5"/>
        <v>0</v>
      </c>
      <c r="R51" s="97" t="s">
        <v>324</v>
      </c>
      <c r="S51" s="216"/>
    </row>
    <row r="52" spans="1:19" ht="15.75">
      <c r="A52" s="14"/>
      <c r="C52" s="12"/>
      <c r="D52" s="12"/>
      <c r="E52" s="12"/>
      <c r="F52" s="12"/>
      <c r="G52" s="12"/>
      <c r="H52" s="12"/>
      <c r="I52" s="12"/>
      <c r="J52" s="15"/>
      <c r="K52" s="97"/>
      <c r="L52" s="97"/>
      <c r="M52" s="97"/>
      <c r="N52" s="97"/>
      <c r="O52" s="97"/>
      <c r="P52" s="97"/>
      <c r="Q52" s="97"/>
      <c r="R52" s="97"/>
      <c r="S52" s="216"/>
    </row>
    <row r="53" spans="1:19" ht="15.75">
      <c r="A53" s="14"/>
      <c r="C53" s="12"/>
      <c r="D53" s="12"/>
      <c r="E53" s="12"/>
      <c r="F53" s="12"/>
      <c r="G53" s="12"/>
      <c r="H53" s="12"/>
      <c r="I53" s="12"/>
      <c r="J53" s="15"/>
      <c r="K53" s="24" t="s">
        <v>58</v>
      </c>
      <c r="L53" s="98">
        <f>SUM(M48:Q51)</f>
        <v>0.03267014417373458</v>
      </c>
      <c r="M53" s="102"/>
      <c r="N53" s="102"/>
      <c r="O53" s="102"/>
      <c r="P53" s="102"/>
      <c r="Q53" s="102"/>
      <c r="R53" s="22" t="s">
        <v>309</v>
      </c>
      <c r="S53" s="216"/>
    </row>
    <row r="54" spans="1:19" ht="15.75">
      <c r="A54" s="14"/>
      <c r="C54" s="12"/>
      <c r="D54" s="12"/>
      <c r="E54" s="12"/>
      <c r="F54" s="12"/>
      <c r="G54" s="12"/>
      <c r="H54" s="12"/>
      <c r="I54" s="12"/>
      <c r="J54" s="15"/>
      <c r="K54" s="24" t="s">
        <v>310</v>
      </c>
      <c r="L54" s="98">
        <f>L53*21</f>
        <v>0.6860730276484261</v>
      </c>
      <c r="M54" s="102"/>
      <c r="N54" s="102"/>
      <c r="O54" s="102"/>
      <c r="P54" s="102"/>
      <c r="Q54" s="102"/>
      <c r="R54" s="22" t="s">
        <v>312</v>
      </c>
      <c r="S54" s="216"/>
    </row>
    <row r="55" spans="1:19" ht="15.75">
      <c r="A55" s="14"/>
      <c r="C55" s="12"/>
      <c r="D55" s="12"/>
      <c r="E55" s="12"/>
      <c r="F55" s="12"/>
      <c r="G55" s="12"/>
      <c r="H55" s="12"/>
      <c r="I55" s="12"/>
      <c r="J55" s="15"/>
      <c r="K55" s="240" t="s">
        <v>310</v>
      </c>
      <c r="L55" s="241">
        <f>L54*10^3</f>
        <v>686.0730276484262</v>
      </c>
      <c r="M55" s="242"/>
      <c r="N55" s="242"/>
      <c r="O55" s="242"/>
      <c r="P55" s="242"/>
      <c r="Q55" s="242"/>
      <c r="R55" s="243" t="s">
        <v>311</v>
      </c>
      <c r="S55" s="244"/>
    </row>
    <row r="56" spans="1:19" ht="15.75">
      <c r="A56" s="14"/>
      <c r="C56" s="12"/>
      <c r="D56" s="12"/>
      <c r="E56" s="12"/>
      <c r="F56" s="12"/>
      <c r="G56" s="12"/>
      <c r="H56" s="12"/>
      <c r="I56" s="12"/>
      <c r="J56" s="15"/>
      <c r="K56" s="113"/>
      <c r="L56" s="14"/>
      <c r="M56" s="186"/>
      <c r="N56" s="186"/>
      <c r="O56" s="186"/>
      <c r="P56" s="186"/>
      <c r="Q56" s="186"/>
      <c r="R56" s="14"/>
      <c r="S56" s="195"/>
    </row>
    <row r="57" ht="18" customHeight="1" thickBot="1">
      <c r="A57" s="14"/>
    </row>
    <row r="58" spans="1:40" ht="16.5" thickBot="1">
      <c r="A58" s="14"/>
      <c r="B58" s="120" t="s">
        <v>162</v>
      </c>
      <c r="C58" s="121"/>
      <c r="D58" s="122"/>
      <c r="E58" s="123"/>
      <c r="F58" s="124" t="s">
        <v>57</v>
      </c>
      <c r="G58" s="125"/>
      <c r="H58" s="125"/>
      <c r="I58" s="125"/>
      <c r="J58" s="125"/>
      <c r="K58" s="125"/>
      <c r="L58" s="126"/>
      <c r="M58" s="510" t="s">
        <v>53</v>
      </c>
      <c r="N58" s="511"/>
      <c r="O58" s="511"/>
      <c r="P58" s="511"/>
      <c r="Q58" s="511"/>
      <c r="R58" s="511"/>
      <c r="S58" s="512"/>
      <c r="T58" s="510" t="s">
        <v>54</v>
      </c>
      <c r="U58" s="511"/>
      <c r="V58" s="511"/>
      <c r="W58" s="511"/>
      <c r="X58" s="511"/>
      <c r="Y58" s="511"/>
      <c r="Z58" s="512"/>
      <c r="AA58" s="510" t="s">
        <v>55</v>
      </c>
      <c r="AB58" s="511"/>
      <c r="AC58" s="511"/>
      <c r="AD58" s="511"/>
      <c r="AE58" s="511"/>
      <c r="AF58" s="511"/>
      <c r="AG58" s="512"/>
      <c r="AH58" s="510" t="s">
        <v>56</v>
      </c>
      <c r="AI58" s="511"/>
      <c r="AJ58" s="511"/>
      <c r="AK58" s="511"/>
      <c r="AL58" s="511"/>
      <c r="AM58" s="511"/>
      <c r="AN58" s="512"/>
    </row>
    <row r="59" spans="1:40" ht="16.5" thickBot="1">
      <c r="A59" s="14"/>
      <c r="B59" s="127" t="s">
        <v>165</v>
      </c>
      <c r="C59" s="128" t="s">
        <v>161</v>
      </c>
      <c r="D59" s="128" t="s">
        <v>164</v>
      </c>
      <c r="E59" s="129" t="s">
        <v>166</v>
      </c>
      <c r="F59" s="130" t="s">
        <v>159</v>
      </c>
      <c r="G59" s="128" t="s">
        <v>70</v>
      </c>
      <c r="H59" s="131" t="s">
        <v>60</v>
      </c>
      <c r="I59" s="131" t="s">
        <v>9</v>
      </c>
      <c r="J59" s="131" t="s">
        <v>25</v>
      </c>
      <c r="K59" s="131" t="s">
        <v>167</v>
      </c>
      <c r="L59" s="129" t="s">
        <v>10</v>
      </c>
      <c r="M59" s="130" t="s">
        <v>159</v>
      </c>
      <c r="N59" s="131" t="s">
        <v>71</v>
      </c>
      <c r="O59" s="131" t="s">
        <v>60</v>
      </c>
      <c r="P59" s="131" t="s">
        <v>9</v>
      </c>
      <c r="Q59" s="131" t="s">
        <v>25</v>
      </c>
      <c r="R59" s="131" t="s">
        <v>29</v>
      </c>
      <c r="S59" s="190" t="s">
        <v>10</v>
      </c>
      <c r="T59" s="130" t="s">
        <v>159</v>
      </c>
      <c r="U59" s="131" t="s">
        <v>71</v>
      </c>
      <c r="V59" s="131" t="s">
        <v>60</v>
      </c>
      <c r="W59" s="131" t="s">
        <v>9</v>
      </c>
      <c r="X59" s="131" t="s">
        <v>25</v>
      </c>
      <c r="Y59" s="131" t="s">
        <v>29</v>
      </c>
      <c r="Z59" s="129" t="s">
        <v>10</v>
      </c>
      <c r="AA59" s="130" t="s">
        <v>159</v>
      </c>
      <c r="AB59" s="131" t="s">
        <v>72</v>
      </c>
      <c r="AC59" s="131" t="s">
        <v>60</v>
      </c>
      <c r="AD59" s="131" t="s">
        <v>9</v>
      </c>
      <c r="AE59" s="131" t="s">
        <v>25</v>
      </c>
      <c r="AF59" s="131" t="s">
        <v>29</v>
      </c>
      <c r="AG59" s="129" t="s">
        <v>10</v>
      </c>
      <c r="AH59" s="130" t="s">
        <v>159</v>
      </c>
      <c r="AI59" s="131" t="s">
        <v>73</v>
      </c>
      <c r="AJ59" s="131" t="s">
        <v>60</v>
      </c>
      <c r="AK59" s="131" t="s">
        <v>9</v>
      </c>
      <c r="AL59" s="131" t="s">
        <v>25</v>
      </c>
      <c r="AM59" s="131" t="s">
        <v>29</v>
      </c>
      <c r="AN59" s="129" t="s">
        <v>10</v>
      </c>
    </row>
    <row r="60" spans="1:40" ht="15.75">
      <c r="A60" s="14"/>
      <c r="B60" s="132" t="s">
        <v>35</v>
      </c>
      <c r="C60" s="133">
        <v>31</v>
      </c>
      <c r="D60" s="134">
        <f aca="true" t="shared" si="6" ref="D60:D71">((AH60*AI60)+(AA60*AB60)+(T60*U60)+(M60*N60)+(F60*G60))*C60</f>
        <v>3012.665577777514</v>
      </c>
      <c r="E60" s="135">
        <f aca="true" t="shared" si="7" ref="E60:E71">K60*G60*C60</f>
        <v>145999.99999999997</v>
      </c>
      <c r="F60" s="136">
        <f aca="true" t="shared" si="8" ref="F60:F71">(1.3+(0.112*J60)+((((1.185+(0.00454*I60)-(0.0000026*(I60)^2)+((0.315*H60)))^2)*1.1+(K60*3.054/0.6/(0.00795*J60-0.0014))/18.4)/((1.185+(0.00454*I60)-(0.0000026*(I60)^2)+((0.315*0)))^2))*(2.37-(0.05*J60)))/100*((((1.185+(0.00454*I60)-(0.0000026*(I60)^2)+((0.315*H60)))^2)*1.1+(K60*3.054/0.6/(0.00795*J60-0.0014))/18.4)*18.4)/55.22</f>
        <v>0.4379420125193446</v>
      </c>
      <c r="G60" s="137">
        <f>'Data summary'!$C$9</f>
        <v>200</v>
      </c>
      <c r="H60" s="138">
        <f>'Data summary'!$C$11</f>
        <v>-0.075</v>
      </c>
      <c r="I60" s="138">
        <f>'Data summary'!$C$10</f>
        <v>546.25</v>
      </c>
      <c r="J60" s="138">
        <v>70</v>
      </c>
      <c r="K60" s="139">
        <v>23.548387096774192</v>
      </c>
      <c r="L60" s="140">
        <v>18.4</v>
      </c>
      <c r="M60" s="136">
        <f>(1.3+(0.112*Q60)+((((1.185+(0.00454*P60)-(0.0000026*(P60)^2)+((0.315*O60)))^2)*1+(R60*3.054/0.6/(0.00795*Q60-0.0014))/18.4)/((1.185+(0.00454*P60)-(0.0000026*(P60)^2)+((0.315*0)))^2))*(2.37-(0.05*Q60)))/100*((((1.185+(0.00454*P60)-(0.0000026*(P60)^2)+((0.315*O60)))^2)*1+(R60*3.054/0.6/(0.00795*Q60-0.0014))/18.4)*18.4)/55.22</f>
        <v>0.13485107638666483</v>
      </c>
      <c r="N60" s="141">
        <f>'Data summary'!$D$9</f>
        <v>40</v>
      </c>
      <c r="O60" s="138">
        <f>'Data summary'!$D$11</f>
        <v>1</v>
      </c>
      <c r="P60" s="138">
        <f>'Data summary'!$D$10</f>
        <v>200</v>
      </c>
      <c r="Q60" s="138">
        <v>70</v>
      </c>
      <c r="R60" s="138">
        <v>0</v>
      </c>
      <c r="S60" s="191">
        <v>18.4</v>
      </c>
      <c r="T60" s="136">
        <f>(1.3+(0.112*X60)+((((1.185+(0.00454*W60)-(0.0000026*(W60)^2)+((0.315*V60)))^2)*1+(Y60*3.054/0.6/(0.00795*X60-0.0014))/18.4)/((1.185+(0.00454*W60)-(0.0000026*(W60)^2)+((0.315*0)))^2))*(2.37-(0.05*X60)))/100*((((1.185+(0.00454*W60)-(0.0000026*(W60)^2)+((0.315*V60)))^2)*1+(Y60*3.054/0.6/(0.00795*X60-0.0014))/18.4)*18.4)/55.22</f>
        <v>0.09321244584466082</v>
      </c>
      <c r="U60" s="141">
        <f>'Data summary'!$E$9</f>
        <v>40</v>
      </c>
      <c r="V60" s="138">
        <f>'Data summary'!$E$11</f>
        <v>1</v>
      </c>
      <c r="W60" s="138">
        <f>'Data summary'!$E$10</f>
        <v>100</v>
      </c>
      <c r="X60" s="138">
        <v>70</v>
      </c>
      <c r="Y60" s="138">
        <v>0</v>
      </c>
      <c r="Z60" s="140">
        <v>18.4</v>
      </c>
      <c r="AA60" s="136">
        <f>(1.3+(0.112*AE60)+((((1.185+(0.00454*AD60)-(0.0000026*(AD60)^2)+((0.315*AC60)))^2)*1+(AF60*3.054/0.6/(0.00795*AE60-0.0014))/18.4)/((1.185+(0.00454*AD60)-(0.0000026*(AD60)^2)+((0.315*0)))^2))*(2.37-(0.05*AE60)))/100*((((1.185+(0.00454*AD60)-(0.0000026*(AD60)^2)+((0.315*AC60)))^2)*1+(AF60*3.054/0.6/(0.00795*AE60-0.0014))/18.4)*18.4)/55.22</f>
        <v>0.23590859017312568</v>
      </c>
      <c r="AB60" s="141">
        <f>'Data summary'!$F$9</f>
        <v>2</v>
      </c>
      <c r="AC60" s="138">
        <f>'Data summary'!$F$11</f>
        <v>0</v>
      </c>
      <c r="AD60" s="138">
        <f>'Data summary'!$F$10</f>
        <v>600</v>
      </c>
      <c r="AE60" s="138">
        <v>70</v>
      </c>
      <c r="AF60" s="138">
        <v>0</v>
      </c>
      <c r="AG60" s="140">
        <v>18.4</v>
      </c>
      <c r="AH60" s="136">
        <f>(1.3+(0.112*AL60)+((((1.185+(0.00454*AK60)-(0.0000026*(AK60)^2)+((0.315*AJ60)))^2)*1+(AM60*3.054/0.6/(0.00795*AL60-0.0014))/18.4)/((1.185+(0.00454*AK60)-(0.0000026*(AK60)^2)+((0.315*0)))^2))*(2.37-(0.05*AL60)))/100*((((1.185+(0.00454*AK60)-(0.0000026*(AK60)^2)+((0.315*AJ60)))^2)*1+(AM60*3.054/0.6/(0.00795*AL60-0.0014))/18.4)*18.4)/55.22</f>
        <v>0.03747922806954003</v>
      </c>
      <c r="AI60" s="141">
        <f>'Data summary'!$G$9</f>
        <v>0</v>
      </c>
      <c r="AJ60" s="138">
        <f>'Data summary'!$G$11</f>
        <v>0</v>
      </c>
      <c r="AK60" s="138">
        <f>'Data summary'!$G$10</f>
        <v>0</v>
      </c>
      <c r="AL60" s="138">
        <v>70</v>
      </c>
      <c r="AM60" s="138">
        <v>0</v>
      </c>
      <c r="AN60" s="140">
        <v>18.4</v>
      </c>
    </row>
    <row r="61" spans="1:40" ht="15.75">
      <c r="A61" s="14"/>
      <c r="B61" s="132" t="s">
        <v>36</v>
      </c>
      <c r="C61" s="133">
        <v>28</v>
      </c>
      <c r="D61" s="134">
        <f t="shared" si="6"/>
        <v>2766.467493793455</v>
      </c>
      <c r="E61" s="135">
        <f t="shared" si="7"/>
        <v>134200</v>
      </c>
      <c r="F61" s="136">
        <f t="shared" si="8"/>
        <v>0.4465955006029014</v>
      </c>
      <c r="G61" s="137">
        <f>'Data summary'!$C$9</f>
        <v>200</v>
      </c>
      <c r="H61" s="138">
        <f>'Data summary'!$C$11</f>
        <v>-0.075</v>
      </c>
      <c r="I61" s="138">
        <f>'Data summary'!$C$10</f>
        <v>546.25</v>
      </c>
      <c r="J61" s="138">
        <v>68</v>
      </c>
      <c r="K61" s="139">
        <v>23.964285714285715</v>
      </c>
      <c r="L61" s="140">
        <v>18.4</v>
      </c>
      <c r="M61" s="136">
        <f aca="true" t="shared" si="9" ref="M61:M71">(1.3+(0.112*Q61)+((((1.185+(0.00454*P61)-(0.0000026*(P61)^2)+((0.315*O61)))^2)*1+(R61*3.054/0.6/(0.00795*Q61-0.0014))/18.4)/((1.185+(0.00454*P61)-(0.0000026*(P61)^2)+((0.315*0)))^2))*(2.37-(0.05*Q61)))/100*((((1.185+(0.00454*P61)-(0.0000026*(P61)^2)+((0.315*O61)))^2)*1+(R61*3.054/0.6/(0.00795*Q61-0.0014))/18.4)*18.4)/55.22</f>
        <v>0.133262353786343</v>
      </c>
      <c r="N61" s="141">
        <f>'Data summary'!$D$9</f>
        <v>40</v>
      </c>
      <c r="O61" s="138">
        <f>'Data summary'!$D$11</f>
        <v>1</v>
      </c>
      <c r="P61" s="138">
        <f>'Data summary'!$D$10</f>
        <v>200</v>
      </c>
      <c r="Q61" s="138">
        <v>68</v>
      </c>
      <c r="R61" s="138">
        <v>0</v>
      </c>
      <c r="S61" s="191">
        <v>18.4</v>
      </c>
      <c r="T61" s="136">
        <f aca="true" t="shared" si="10" ref="T61:T71">(1.3+(0.112*X61)+((((1.185+(0.00454*W61)-(0.0000026*(W61)^2)+((0.315*V61)))^2)*1+(Y61*3.054/0.6/(0.00795*X61-0.0014))/18.4)/((1.185+(0.00454*W61)-(0.0000026*(W61)^2)+((0.315*0)))^2))*(2.37-(0.05*X61)))/100*((((1.185+(0.00454*W61)-(0.0000026*(W61)^2)+((0.315*V61)))^2)*1+(Y61*3.054/0.6/(0.00795*X61-0.0014))/18.4)*18.4)/55.22</f>
        <v>0.09220757691232999</v>
      </c>
      <c r="U61" s="141">
        <f>'Data summary'!$E$9</f>
        <v>40</v>
      </c>
      <c r="V61" s="138">
        <f>'Data summary'!$E$11</f>
        <v>1</v>
      </c>
      <c r="W61" s="138">
        <f>'Data summary'!$E$10</f>
        <v>100</v>
      </c>
      <c r="X61" s="138">
        <v>68</v>
      </c>
      <c r="Y61" s="138">
        <v>0</v>
      </c>
      <c r="Z61" s="140">
        <v>18.4</v>
      </c>
      <c r="AA61" s="136">
        <f aca="true" t="shared" si="11" ref="AA61:AA71">(1.3+(0.112*AE61)+((((1.185+(0.00454*AD61)-(0.0000026*(AD61)^2)+((0.315*AC61)))^2)*1+(AF61*3.054/0.6/(0.00795*AE61-0.0014))/18.4)/((1.185+(0.00454*AD61)-(0.0000026*(AD61)^2)+((0.315*0)))^2))*(2.37-(0.05*AE61)))/100*((((1.185+(0.00454*AD61)-(0.0000026*(AD61)^2)+((0.315*AC61)))^2)*1+(AF61*3.054/0.6/(0.00795*AE61-0.0014))/18.4)*18.4)/55.22</f>
        <v>0.23225657204809846</v>
      </c>
      <c r="AB61" s="141">
        <f>'Data summary'!$F$9</f>
        <v>2</v>
      </c>
      <c r="AC61" s="138">
        <f>'Data summary'!$F$11</f>
        <v>0</v>
      </c>
      <c r="AD61" s="138">
        <f>'Data summary'!$F$10</f>
        <v>600</v>
      </c>
      <c r="AE61" s="138">
        <v>68</v>
      </c>
      <c r="AF61" s="138">
        <v>0</v>
      </c>
      <c r="AG61" s="140">
        <v>18.4</v>
      </c>
      <c r="AH61" s="136">
        <f aca="true" t="shared" si="12" ref="AH61:AH71">(1.3+(0.112*AL61)+((((1.185+(0.00454*AK61)-(0.0000026*(AK61)^2)+((0.315*AJ61)))^2)*1+(AM61*3.054/0.6/(0.00795*AL61-0.0014))/18.4)/((1.185+(0.00454*AK61)-(0.0000026*(AK61)^2)+((0.315*0)))^2))*(2.37-(0.05*AL61)))/100*((((1.185+(0.00454*AK61)-(0.0000026*(AK61)^2)+((0.315*AJ61)))^2)*1+(AM61*3.054/0.6/(0.00795*AL61-0.0014))/18.4)*18.4)/55.22</f>
        <v>0.036899025287939154</v>
      </c>
      <c r="AI61" s="141">
        <f>'Data summary'!$G$9</f>
        <v>0</v>
      </c>
      <c r="AJ61" s="138">
        <f>'Data summary'!$G$11</f>
        <v>0</v>
      </c>
      <c r="AK61" s="138">
        <f>'Data summary'!$G$10</f>
        <v>0</v>
      </c>
      <c r="AL61" s="138">
        <v>68</v>
      </c>
      <c r="AM61" s="138">
        <v>0</v>
      </c>
      <c r="AN61" s="140">
        <v>18.4</v>
      </c>
    </row>
    <row r="62" spans="1:40" ht="15.75" customHeight="1">
      <c r="A62" s="14"/>
      <c r="B62" s="132" t="s">
        <v>37</v>
      </c>
      <c r="C62" s="133">
        <v>31</v>
      </c>
      <c r="D62" s="134">
        <f t="shared" si="6"/>
        <v>2927.4676505074985</v>
      </c>
      <c r="E62" s="135">
        <f t="shared" si="7"/>
        <v>122200</v>
      </c>
      <c r="F62" s="136">
        <f t="shared" si="8"/>
        <v>0.42558850756621347</v>
      </c>
      <c r="G62" s="137">
        <f>'Data summary'!$C$9</f>
        <v>200</v>
      </c>
      <c r="H62" s="138">
        <f>'Data summary'!$C$11</f>
        <v>-0.075</v>
      </c>
      <c r="I62" s="138">
        <f>'Data summary'!$C$10</f>
        <v>546.25</v>
      </c>
      <c r="J62" s="138">
        <v>65</v>
      </c>
      <c r="K62" s="139">
        <v>19.70967741935484</v>
      </c>
      <c r="L62" s="140">
        <v>18.4</v>
      </c>
      <c r="M62" s="136">
        <f t="shared" si="9"/>
        <v>0.1308792698858602</v>
      </c>
      <c r="N62" s="141">
        <f>'Data summary'!$D$9</f>
        <v>40</v>
      </c>
      <c r="O62" s="138">
        <f>'Data summary'!$D$11</f>
        <v>1</v>
      </c>
      <c r="P62" s="138">
        <f>'Data summary'!$D$10</f>
        <v>200</v>
      </c>
      <c r="Q62" s="138">
        <v>65</v>
      </c>
      <c r="R62" s="138">
        <v>0</v>
      </c>
      <c r="S62" s="191">
        <v>18.4</v>
      </c>
      <c r="T62" s="136">
        <f t="shared" si="10"/>
        <v>0.09070027351383378</v>
      </c>
      <c r="U62" s="141">
        <f>'Data summary'!$E$9</f>
        <v>40</v>
      </c>
      <c r="V62" s="138">
        <f>'Data summary'!$E$11</f>
        <v>1</v>
      </c>
      <c r="W62" s="138">
        <f>'Data summary'!$E$10</f>
        <v>100</v>
      </c>
      <c r="X62" s="138">
        <v>65</v>
      </c>
      <c r="Y62" s="138">
        <v>0</v>
      </c>
      <c r="Z62" s="140">
        <v>18.4</v>
      </c>
      <c r="AA62" s="136">
        <f t="shared" si="11"/>
        <v>0.2267785448605577</v>
      </c>
      <c r="AB62" s="141">
        <f>'Data summary'!$F$9</f>
        <v>2</v>
      </c>
      <c r="AC62" s="138">
        <f>'Data summary'!$F$11</f>
        <v>0</v>
      </c>
      <c r="AD62" s="138">
        <f>'Data summary'!$F$10</f>
        <v>600</v>
      </c>
      <c r="AE62" s="138">
        <v>65</v>
      </c>
      <c r="AF62" s="138">
        <v>0</v>
      </c>
      <c r="AG62" s="140">
        <v>18.4</v>
      </c>
      <c r="AH62" s="136">
        <f t="shared" si="12"/>
        <v>0.03602872111553785</v>
      </c>
      <c r="AI62" s="141">
        <f>'Data summary'!$G$9</f>
        <v>0</v>
      </c>
      <c r="AJ62" s="138">
        <f>'Data summary'!$G$11</f>
        <v>0</v>
      </c>
      <c r="AK62" s="138">
        <f>'Data summary'!$G$10</f>
        <v>0</v>
      </c>
      <c r="AL62" s="138">
        <v>65</v>
      </c>
      <c r="AM62" s="138">
        <v>0</v>
      </c>
      <c r="AN62" s="140">
        <v>18.4</v>
      </c>
    </row>
    <row r="63" spans="1:40" ht="15.75">
      <c r="A63" s="14"/>
      <c r="B63" s="132" t="s">
        <v>38</v>
      </c>
      <c r="C63" s="133">
        <v>30</v>
      </c>
      <c r="D63" s="134">
        <f t="shared" si="6"/>
        <v>2847.8089188457006</v>
      </c>
      <c r="E63" s="135">
        <f t="shared" si="7"/>
        <v>110399.99999999999</v>
      </c>
      <c r="F63" s="136">
        <f t="shared" si="8"/>
        <v>0.4294392218985244</v>
      </c>
      <c r="G63" s="137">
        <f>'Data summary'!$C$9</f>
        <v>200</v>
      </c>
      <c r="H63" s="138">
        <f>'Data summary'!$C$11</f>
        <v>-0.075</v>
      </c>
      <c r="I63" s="138">
        <f>'Data summary'!$C$10</f>
        <v>546.25</v>
      </c>
      <c r="J63" s="138">
        <v>60</v>
      </c>
      <c r="K63" s="139">
        <v>18.4</v>
      </c>
      <c r="L63" s="140">
        <v>18.4</v>
      </c>
      <c r="M63" s="136">
        <f t="shared" si="9"/>
        <v>0.12690746338505554</v>
      </c>
      <c r="N63" s="141">
        <f>'Data summary'!$D$9</f>
        <v>40</v>
      </c>
      <c r="O63" s="138">
        <f>'Data summary'!$D$11</f>
        <v>1</v>
      </c>
      <c r="P63" s="138">
        <f>'Data summary'!$D$10</f>
        <v>200</v>
      </c>
      <c r="Q63" s="138">
        <v>60</v>
      </c>
      <c r="R63" s="138">
        <v>0</v>
      </c>
      <c r="S63" s="191">
        <v>18.4</v>
      </c>
      <c r="T63" s="136">
        <f t="shared" si="10"/>
        <v>0.08818810118300675</v>
      </c>
      <c r="U63" s="141">
        <f>'Data summary'!$E$9</f>
        <v>40</v>
      </c>
      <c r="V63" s="138">
        <f>'Data summary'!$E$11</f>
        <v>1</v>
      </c>
      <c r="W63" s="138">
        <f>'Data summary'!$E$10</f>
        <v>100</v>
      </c>
      <c r="X63" s="138">
        <v>60</v>
      </c>
      <c r="Y63" s="138">
        <v>0</v>
      </c>
      <c r="Z63" s="140">
        <v>18.4</v>
      </c>
      <c r="AA63" s="136">
        <f t="shared" si="11"/>
        <v>0.2176484995479898</v>
      </c>
      <c r="AB63" s="141">
        <f>'Data summary'!$F$9</f>
        <v>2</v>
      </c>
      <c r="AC63" s="138">
        <f>'Data summary'!$F$11</f>
        <v>0</v>
      </c>
      <c r="AD63" s="138">
        <f>'Data summary'!$F$10</f>
        <v>600</v>
      </c>
      <c r="AE63" s="138">
        <v>60</v>
      </c>
      <c r="AF63" s="138">
        <v>0</v>
      </c>
      <c r="AG63" s="140">
        <v>18.4</v>
      </c>
      <c r="AH63" s="136">
        <f t="shared" si="12"/>
        <v>0.03457821416153568</v>
      </c>
      <c r="AI63" s="141">
        <f>'Data summary'!$G$9</f>
        <v>0</v>
      </c>
      <c r="AJ63" s="138">
        <f>'Data summary'!$G$11</f>
        <v>0</v>
      </c>
      <c r="AK63" s="138">
        <f>'Data summary'!$G$10</f>
        <v>0</v>
      </c>
      <c r="AL63" s="138">
        <v>60</v>
      </c>
      <c r="AM63" s="138">
        <v>0</v>
      </c>
      <c r="AN63" s="140">
        <v>18.4</v>
      </c>
    </row>
    <row r="64" spans="1:40" ht="15.75">
      <c r="A64" s="14"/>
      <c r="B64" s="132" t="s">
        <v>39</v>
      </c>
      <c r="C64" s="133">
        <v>31</v>
      </c>
      <c r="D64" s="134">
        <f t="shared" si="6"/>
        <v>2816.6431697118946</v>
      </c>
      <c r="E64" s="135">
        <f t="shared" si="7"/>
        <v>101400</v>
      </c>
      <c r="F64" s="136">
        <f t="shared" si="8"/>
        <v>0.40910168752831005</v>
      </c>
      <c r="G64" s="137">
        <f>'Data summary'!$C$9</f>
        <v>200</v>
      </c>
      <c r="H64" s="138">
        <f>'Data summary'!$C$11</f>
        <v>-0.075</v>
      </c>
      <c r="I64" s="138">
        <f>'Data summary'!$C$10</f>
        <v>546.25</v>
      </c>
      <c r="J64" s="138">
        <v>60</v>
      </c>
      <c r="K64" s="139">
        <v>16.35483870967742</v>
      </c>
      <c r="L64" s="140">
        <v>18.4</v>
      </c>
      <c r="M64" s="136">
        <f t="shared" si="9"/>
        <v>0.12690746338505554</v>
      </c>
      <c r="N64" s="141">
        <f>'Data summary'!$D$9</f>
        <v>40</v>
      </c>
      <c r="O64" s="138">
        <f>'Data summary'!$D$11</f>
        <v>1</v>
      </c>
      <c r="P64" s="138">
        <f>'Data summary'!$D$10</f>
        <v>200</v>
      </c>
      <c r="Q64" s="138">
        <v>60</v>
      </c>
      <c r="R64" s="138">
        <v>0</v>
      </c>
      <c r="S64" s="191">
        <v>18.4</v>
      </c>
      <c r="T64" s="136">
        <f t="shared" si="10"/>
        <v>0.08818810118300675</v>
      </c>
      <c r="U64" s="141">
        <f>'Data summary'!$E$9</f>
        <v>40</v>
      </c>
      <c r="V64" s="138">
        <f>'Data summary'!$E$11</f>
        <v>1</v>
      </c>
      <c r="W64" s="138">
        <f>'Data summary'!$E$10</f>
        <v>100</v>
      </c>
      <c r="X64" s="138">
        <v>60</v>
      </c>
      <c r="Y64" s="138">
        <v>0</v>
      </c>
      <c r="Z64" s="140">
        <v>18.4</v>
      </c>
      <c r="AA64" s="136">
        <f t="shared" si="11"/>
        <v>0.2176484995479898</v>
      </c>
      <c r="AB64" s="141">
        <f>'Data summary'!$F$9</f>
        <v>2</v>
      </c>
      <c r="AC64" s="138">
        <f>'Data summary'!$F$11</f>
        <v>0</v>
      </c>
      <c r="AD64" s="138">
        <f>'Data summary'!$F$10</f>
        <v>600</v>
      </c>
      <c r="AE64" s="138">
        <v>60</v>
      </c>
      <c r="AF64" s="138">
        <v>0</v>
      </c>
      <c r="AG64" s="140">
        <v>18.4</v>
      </c>
      <c r="AH64" s="136">
        <f t="shared" si="12"/>
        <v>0.03457821416153568</v>
      </c>
      <c r="AI64" s="141">
        <f>'Data summary'!$G$9</f>
        <v>0</v>
      </c>
      <c r="AJ64" s="138">
        <f>'Data summary'!$G$11</f>
        <v>0</v>
      </c>
      <c r="AK64" s="138">
        <f>'Data summary'!$G$10</f>
        <v>0</v>
      </c>
      <c r="AL64" s="138">
        <v>60</v>
      </c>
      <c r="AM64" s="138">
        <v>0</v>
      </c>
      <c r="AN64" s="140">
        <v>18.4</v>
      </c>
    </row>
    <row r="65" spans="1:40" ht="15.75">
      <c r="A65" s="14"/>
      <c r="B65" s="132" t="s">
        <v>40</v>
      </c>
      <c r="C65" s="133">
        <v>30</v>
      </c>
      <c r="D65" s="134">
        <f t="shared" si="6"/>
        <v>2569.871767837459</v>
      </c>
      <c r="E65" s="135">
        <f t="shared" si="7"/>
        <v>92400</v>
      </c>
      <c r="F65" s="136">
        <f t="shared" si="8"/>
        <v>0.37895207473879483</v>
      </c>
      <c r="G65" s="137">
        <f>'Data summary'!$C$9</f>
        <v>200</v>
      </c>
      <c r="H65" s="138">
        <f>'Data summary'!$C$11</f>
        <v>-0.075</v>
      </c>
      <c r="I65" s="138">
        <f>'Data summary'!$C$10</f>
        <v>546.25</v>
      </c>
      <c r="J65" s="138">
        <v>75</v>
      </c>
      <c r="K65" s="139">
        <v>15.4</v>
      </c>
      <c r="L65" s="140">
        <v>18.4</v>
      </c>
      <c r="M65" s="136">
        <f t="shared" si="9"/>
        <v>0.13882288288746952</v>
      </c>
      <c r="N65" s="141">
        <f>'Data summary'!$D$9</f>
        <v>40</v>
      </c>
      <c r="O65" s="138">
        <f>'Data summary'!$D$11</f>
        <v>1</v>
      </c>
      <c r="P65" s="138">
        <f>'Data summary'!$D$10</f>
        <v>200</v>
      </c>
      <c r="Q65" s="138">
        <v>75</v>
      </c>
      <c r="R65" s="138">
        <v>0</v>
      </c>
      <c r="S65" s="191">
        <v>18.4</v>
      </c>
      <c r="T65" s="136">
        <f t="shared" si="10"/>
        <v>0.09572461817548783</v>
      </c>
      <c r="U65" s="141">
        <f>'Data summary'!$E$9</f>
        <v>40</v>
      </c>
      <c r="V65" s="138">
        <f>'Data summary'!$E$11</f>
        <v>1</v>
      </c>
      <c r="W65" s="138">
        <f>'Data summary'!$E$10</f>
        <v>100</v>
      </c>
      <c r="X65" s="138">
        <v>75</v>
      </c>
      <c r="Y65" s="138">
        <v>0</v>
      </c>
      <c r="Z65" s="140">
        <v>18.4</v>
      </c>
      <c r="AA65" s="136">
        <f t="shared" si="11"/>
        <v>0.24503863548569352</v>
      </c>
      <c r="AB65" s="141">
        <f>'Data summary'!$F$9</f>
        <v>2</v>
      </c>
      <c r="AC65" s="138">
        <f>'Data summary'!$F$11</f>
        <v>0</v>
      </c>
      <c r="AD65" s="138">
        <f>'Data summary'!$F$10</f>
        <v>600</v>
      </c>
      <c r="AE65" s="138">
        <v>75</v>
      </c>
      <c r="AF65" s="138">
        <v>0</v>
      </c>
      <c r="AG65" s="140">
        <v>18.4</v>
      </c>
      <c r="AH65" s="136">
        <f t="shared" si="12"/>
        <v>0.03892973502354219</v>
      </c>
      <c r="AI65" s="141">
        <f>'Data summary'!$G$9</f>
        <v>0</v>
      </c>
      <c r="AJ65" s="138">
        <f>'Data summary'!$G$11</f>
        <v>0</v>
      </c>
      <c r="AK65" s="138">
        <f>'Data summary'!$G$10</f>
        <v>0</v>
      </c>
      <c r="AL65" s="138">
        <v>75</v>
      </c>
      <c r="AM65" s="138">
        <v>0</v>
      </c>
      <c r="AN65" s="140">
        <v>18.4</v>
      </c>
    </row>
    <row r="66" spans="1:40" ht="15.75">
      <c r="A66" s="14"/>
      <c r="B66" s="132" t="s">
        <v>41</v>
      </c>
      <c r="C66" s="133">
        <v>31</v>
      </c>
      <c r="D66" s="134">
        <f t="shared" si="6"/>
        <v>1837.4294194967097</v>
      </c>
      <c r="E66" s="135">
        <f t="shared" si="7"/>
        <v>0</v>
      </c>
      <c r="F66" s="136">
        <f t="shared" si="8"/>
        <v>0.2469996972223435</v>
      </c>
      <c r="G66" s="137">
        <f>'Data summary'!$C$9</f>
        <v>200</v>
      </c>
      <c r="H66" s="138">
        <f>'Data summary'!$C$11</f>
        <v>-0.075</v>
      </c>
      <c r="I66" s="138">
        <f>'Data summary'!$C$10</f>
        <v>546.25</v>
      </c>
      <c r="J66" s="138">
        <v>75</v>
      </c>
      <c r="K66" s="139">
        <v>0</v>
      </c>
      <c r="L66" s="140">
        <v>18.4</v>
      </c>
      <c r="M66" s="136">
        <f t="shared" si="9"/>
        <v>0.13882288288746952</v>
      </c>
      <c r="N66" s="141">
        <f>'Data summary'!$D$9</f>
        <v>40</v>
      </c>
      <c r="O66" s="138">
        <f>'Data summary'!$D$11</f>
        <v>1</v>
      </c>
      <c r="P66" s="138">
        <f>'Data summary'!$D$10</f>
        <v>200</v>
      </c>
      <c r="Q66" s="138">
        <v>75</v>
      </c>
      <c r="R66" s="138">
        <v>0</v>
      </c>
      <c r="S66" s="191">
        <v>18.4</v>
      </c>
      <c r="T66" s="136">
        <f t="shared" si="10"/>
        <v>0.09572461817548783</v>
      </c>
      <c r="U66" s="141">
        <f>'Data summary'!$E$9</f>
        <v>40</v>
      </c>
      <c r="V66" s="138">
        <f>'Data summary'!$E$11</f>
        <v>1</v>
      </c>
      <c r="W66" s="138">
        <f>'Data summary'!$E$10</f>
        <v>100</v>
      </c>
      <c r="X66" s="138">
        <v>75</v>
      </c>
      <c r="Y66" s="138">
        <v>0</v>
      </c>
      <c r="Z66" s="140">
        <v>18.4</v>
      </c>
      <c r="AA66" s="136">
        <f t="shared" si="11"/>
        <v>0.24503863548569352</v>
      </c>
      <c r="AB66" s="141">
        <f>'Data summary'!$F$9</f>
        <v>2</v>
      </c>
      <c r="AC66" s="138">
        <f>'Data summary'!$F$11</f>
        <v>0</v>
      </c>
      <c r="AD66" s="138">
        <f>'Data summary'!$F$10</f>
        <v>600</v>
      </c>
      <c r="AE66" s="138">
        <v>75</v>
      </c>
      <c r="AF66" s="138">
        <v>0</v>
      </c>
      <c r="AG66" s="140">
        <v>18.4</v>
      </c>
      <c r="AH66" s="136">
        <f t="shared" si="12"/>
        <v>0.03892973502354219</v>
      </c>
      <c r="AI66" s="141">
        <f>'Data summary'!$G$9</f>
        <v>0</v>
      </c>
      <c r="AJ66" s="138">
        <f>'Data summary'!$G$11</f>
        <v>0</v>
      </c>
      <c r="AK66" s="138">
        <f>'Data summary'!$G$10</f>
        <v>0</v>
      </c>
      <c r="AL66" s="138">
        <v>75</v>
      </c>
      <c r="AM66" s="138">
        <v>0</v>
      </c>
      <c r="AN66" s="140">
        <v>18.4</v>
      </c>
    </row>
    <row r="67" spans="1:40" ht="15.75">
      <c r="A67" s="14"/>
      <c r="B67" s="132" t="s">
        <v>42</v>
      </c>
      <c r="C67" s="133">
        <v>31</v>
      </c>
      <c r="D67" s="134">
        <f t="shared" si="6"/>
        <v>1849.9541808728268</v>
      </c>
      <c r="E67" s="135">
        <f t="shared" si="7"/>
        <v>0</v>
      </c>
      <c r="F67" s="136">
        <f t="shared" si="8"/>
        <v>0.2487422007810526</v>
      </c>
      <c r="G67" s="137">
        <f>'Data summary'!$C$9</f>
        <v>200</v>
      </c>
      <c r="H67" s="138">
        <f>'Data summary'!$C$11</f>
        <v>-0.075</v>
      </c>
      <c r="I67" s="138">
        <f>'Data summary'!$C$10</f>
        <v>546.25</v>
      </c>
      <c r="J67" s="138">
        <v>76</v>
      </c>
      <c r="K67" s="139">
        <v>0</v>
      </c>
      <c r="L67" s="140">
        <v>18.4</v>
      </c>
      <c r="M67" s="136">
        <f t="shared" si="9"/>
        <v>0.1396172441876304</v>
      </c>
      <c r="N67" s="141">
        <f>'Data summary'!$D$9</f>
        <v>40</v>
      </c>
      <c r="O67" s="138">
        <f>'Data summary'!$D$11</f>
        <v>1</v>
      </c>
      <c r="P67" s="138">
        <f>'Data summary'!$D$10</f>
        <v>200</v>
      </c>
      <c r="Q67" s="138">
        <v>76</v>
      </c>
      <c r="R67" s="138">
        <v>0</v>
      </c>
      <c r="S67" s="191">
        <v>18.4</v>
      </c>
      <c r="T67" s="136">
        <f t="shared" si="10"/>
        <v>0.09622705264165322</v>
      </c>
      <c r="U67" s="141">
        <f>'Data summary'!$E$9</f>
        <v>40</v>
      </c>
      <c r="V67" s="138">
        <f>'Data summary'!$E$11</f>
        <v>1</v>
      </c>
      <c r="W67" s="138">
        <f>'Data summary'!$E$10</f>
        <v>100</v>
      </c>
      <c r="X67" s="138">
        <v>76</v>
      </c>
      <c r="Y67" s="138">
        <v>0</v>
      </c>
      <c r="Z67" s="140">
        <v>18.4</v>
      </c>
      <c r="AA67" s="136">
        <f t="shared" si="11"/>
        <v>0.24686464454820717</v>
      </c>
      <c r="AB67" s="141">
        <f>'Data summary'!$F$9</f>
        <v>2</v>
      </c>
      <c r="AC67" s="138">
        <f>'Data summary'!$F$11</f>
        <v>0</v>
      </c>
      <c r="AD67" s="138">
        <f>'Data summary'!$F$10</f>
        <v>600</v>
      </c>
      <c r="AE67" s="138">
        <v>76</v>
      </c>
      <c r="AF67" s="138">
        <v>0</v>
      </c>
      <c r="AG67" s="140">
        <v>18.4</v>
      </c>
      <c r="AH67" s="136">
        <f t="shared" si="12"/>
        <v>0.03921983641434264</v>
      </c>
      <c r="AI67" s="141">
        <f>'Data summary'!$G$9</f>
        <v>0</v>
      </c>
      <c r="AJ67" s="138">
        <f>'Data summary'!$G$11</f>
        <v>0</v>
      </c>
      <c r="AK67" s="138">
        <f>'Data summary'!$G$10</f>
        <v>0</v>
      </c>
      <c r="AL67" s="138">
        <v>76</v>
      </c>
      <c r="AM67" s="138">
        <v>0</v>
      </c>
      <c r="AN67" s="140">
        <v>18.4</v>
      </c>
    </row>
    <row r="68" spans="1:40" ht="15.75">
      <c r="A68" s="14"/>
      <c r="B68" s="132" t="s">
        <v>43</v>
      </c>
      <c r="C68" s="133">
        <v>30</v>
      </c>
      <c r="D68" s="134">
        <f t="shared" si="6"/>
        <v>2914.286705125349</v>
      </c>
      <c r="E68" s="135">
        <f t="shared" si="7"/>
        <v>165200</v>
      </c>
      <c r="F68" s="136">
        <f t="shared" si="8"/>
        <v>0.4355217065551052</v>
      </c>
      <c r="G68" s="137">
        <f>'Data summary'!$C$9</f>
        <v>200</v>
      </c>
      <c r="H68" s="138">
        <f>'Data summary'!$C$11</f>
        <v>-0.075</v>
      </c>
      <c r="I68" s="138">
        <f>'Data summary'!$C$10</f>
        <v>546.25</v>
      </c>
      <c r="J68" s="138">
        <v>78</v>
      </c>
      <c r="K68" s="139">
        <v>27.533333333333335</v>
      </c>
      <c r="L68" s="140">
        <v>18.4</v>
      </c>
      <c r="M68" s="136">
        <f t="shared" si="9"/>
        <v>0.14120596678795228</v>
      </c>
      <c r="N68" s="141">
        <f>'Data summary'!$D$9</f>
        <v>40</v>
      </c>
      <c r="O68" s="138">
        <f>'Data summary'!$D$11</f>
        <v>1</v>
      </c>
      <c r="P68" s="138">
        <f>'Data summary'!$D$10</f>
        <v>200</v>
      </c>
      <c r="Q68" s="138">
        <v>78</v>
      </c>
      <c r="R68" s="138">
        <v>0</v>
      </c>
      <c r="S68" s="191">
        <v>18.4</v>
      </c>
      <c r="T68" s="136">
        <f t="shared" si="10"/>
        <v>0.09723192157398405</v>
      </c>
      <c r="U68" s="141">
        <f>'Data summary'!$E$9</f>
        <v>40</v>
      </c>
      <c r="V68" s="138">
        <f>'Data summary'!$E$11</f>
        <v>1</v>
      </c>
      <c r="W68" s="138">
        <f>'Data summary'!$E$10</f>
        <v>100</v>
      </c>
      <c r="X68" s="138">
        <v>78</v>
      </c>
      <c r="Y68" s="138">
        <v>0</v>
      </c>
      <c r="Z68" s="140">
        <v>18.4</v>
      </c>
      <c r="AA68" s="136">
        <f t="shared" si="11"/>
        <v>0.25051666267323425</v>
      </c>
      <c r="AB68" s="141">
        <f>'Data summary'!$F$9</f>
        <v>2</v>
      </c>
      <c r="AC68" s="138">
        <f>'Data summary'!$F$11</f>
        <v>0</v>
      </c>
      <c r="AD68" s="138">
        <f>'Data summary'!$F$10</f>
        <v>600</v>
      </c>
      <c r="AE68" s="138">
        <v>78</v>
      </c>
      <c r="AF68" s="138">
        <v>0</v>
      </c>
      <c r="AG68" s="140">
        <v>18.4</v>
      </c>
      <c r="AH68" s="136">
        <f t="shared" si="12"/>
        <v>0.03980003919594349</v>
      </c>
      <c r="AI68" s="141">
        <f>'Data summary'!$G$9</f>
        <v>0</v>
      </c>
      <c r="AJ68" s="138">
        <f>'Data summary'!$G$11</f>
        <v>0</v>
      </c>
      <c r="AK68" s="138">
        <f>'Data summary'!$G$10</f>
        <v>0</v>
      </c>
      <c r="AL68" s="138">
        <v>78</v>
      </c>
      <c r="AM68" s="138">
        <v>0</v>
      </c>
      <c r="AN68" s="140">
        <v>18.4</v>
      </c>
    </row>
    <row r="69" spans="1:40" ht="15.75">
      <c r="A69" s="14"/>
      <c r="B69" s="132" t="s">
        <v>44</v>
      </c>
      <c r="C69" s="133">
        <v>31</v>
      </c>
      <c r="D69" s="134">
        <f t="shared" si="6"/>
        <v>3113.987678270098</v>
      </c>
      <c r="E69" s="135">
        <f t="shared" si="7"/>
        <v>194400</v>
      </c>
      <c r="F69" s="136">
        <f t="shared" si="8"/>
        <v>0.45261857132899963</v>
      </c>
      <c r="G69" s="137">
        <f>'Data summary'!$C$9</f>
        <v>200</v>
      </c>
      <c r="H69" s="138">
        <f>'Data summary'!$C$11</f>
        <v>-0.075</v>
      </c>
      <c r="I69" s="138">
        <f>'Data summary'!$C$10</f>
        <v>546.25</v>
      </c>
      <c r="J69" s="138">
        <v>76</v>
      </c>
      <c r="K69" s="139">
        <v>31.35483870967742</v>
      </c>
      <c r="L69" s="140">
        <v>18.4</v>
      </c>
      <c r="M69" s="136">
        <f t="shared" si="9"/>
        <v>0.1396172441876304</v>
      </c>
      <c r="N69" s="141">
        <f>'Data summary'!$D$9</f>
        <v>40</v>
      </c>
      <c r="O69" s="138">
        <f>'Data summary'!$D$11</f>
        <v>1</v>
      </c>
      <c r="P69" s="138">
        <f>'Data summary'!$D$10</f>
        <v>200</v>
      </c>
      <c r="Q69" s="138">
        <v>76</v>
      </c>
      <c r="R69" s="138">
        <v>0</v>
      </c>
      <c r="S69" s="191">
        <v>18.4</v>
      </c>
      <c r="T69" s="136">
        <f t="shared" si="10"/>
        <v>0.09622705264165322</v>
      </c>
      <c r="U69" s="141">
        <f>'Data summary'!$E$9</f>
        <v>40</v>
      </c>
      <c r="V69" s="138">
        <f>'Data summary'!$E$11</f>
        <v>1</v>
      </c>
      <c r="W69" s="138">
        <f>'Data summary'!$E$10</f>
        <v>100</v>
      </c>
      <c r="X69" s="138">
        <v>76</v>
      </c>
      <c r="Y69" s="138">
        <v>0</v>
      </c>
      <c r="Z69" s="140">
        <v>18.4</v>
      </c>
      <c r="AA69" s="136">
        <f t="shared" si="11"/>
        <v>0.24686464454820717</v>
      </c>
      <c r="AB69" s="141">
        <f>'Data summary'!$F$9</f>
        <v>2</v>
      </c>
      <c r="AC69" s="138">
        <f>'Data summary'!$F$11</f>
        <v>0</v>
      </c>
      <c r="AD69" s="138">
        <f>'Data summary'!$F$10</f>
        <v>600</v>
      </c>
      <c r="AE69" s="138">
        <v>76</v>
      </c>
      <c r="AF69" s="138">
        <v>0</v>
      </c>
      <c r="AG69" s="140">
        <v>18.4</v>
      </c>
      <c r="AH69" s="136">
        <f t="shared" si="12"/>
        <v>0.03921983641434264</v>
      </c>
      <c r="AI69" s="141">
        <f>'Data summary'!$G$9</f>
        <v>0</v>
      </c>
      <c r="AJ69" s="138">
        <f>'Data summary'!$G$11</f>
        <v>0</v>
      </c>
      <c r="AK69" s="138">
        <f>'Data summary'!$G$10</f>
        <v>0</v>
      </c>
      <c r="AL69" s="138">
        <v>76</v>
      </c>
      <c r="AM69" s="138">
        <v>0</v>
      </c>
      <c r="AN69" s="140">
        <v>18.4</v>
      </c>
    </row>
    <row r="70" spans="1:40" ht="15.75">
      <c r="A70" s="14"/>
      <c r="B70" s="132" t="s">
        <v>45</v>
      </c>
      <c r="C70" s="133">
        <v>30</v>
      </c>
      <c r="D70" s="134">
        <f t="shared" si="6"/>
        <v>2980.773675254701</v>
      </c>
      <c r="E70" s="135">
        <f t="shared" si="7"/>
        <v>172200</v>
      </c>
      <c r="F70" s="136">
        <f t="shared" si="8"/>
        <v>0.44743572597500186</v>
      </c>
      <c r="G70" s="137">
        <f>'Data summary'!$C$9</f>
        <v>200</v>
      </c>
      <c r="H70" s="138">
        <f>'Data summary'!$C$11</f>
        <v>-0.075</v>
      </c>
      <c r="I70" s="138">
        <f>'Data summary'!$C$10</f>
        <v>546.25</v>
      </c>
      <c r="J70" s="138">
        <v>75</v>
      </c>
      <c r="K70" s="139">
        <v>28.7</v>
      </c>
      <c r="L70" s="140">
        <v>18.4</v>
      </c>
      <c r="M70" s="136">
        <f t="shared" si="9"/>
        <v>0.13882288288746952</v>
      </c>
      <c r="N70" s="141">
        <f>'Data summary'!$D$9</f>
        <v>40</v>
      </c>
      <c r="O70" s="138">
        <f>'Data summary'!$D$11</f>
        <v>1</v>
      </c>
      <c r="P70" s="138">
        <f>'Data summary'!$D$10</f>
        <v>200</v>
      </c>
      <c r="Q70" s="138">
        <v>75</v>
      </c>
      <c r="R70" s="138">
        <v>0</v>
      </c>
      <c r="S70" s="191">
        <v>18.4</v>
      </c>
      <c r="T70" s="136">
        <f t="shared" si="10"/>
        <v>0.09572461817548783</v>
      </c>
      <c r="U70" s="141">
        <f>'Data summary'!$E$9</f>
        <v>40</v>
      </c>
      <c r="V70" s="138">
        <f>'Data summary'!$E$11</f>
        <v>1</v>
      </c>
      <c r="W70" s="138">
        <f>'Data summary'!$E$10</f>
        <v>100</v>
      </c>
      <c r="X70" s="138">
        <v>75</v>
      </c>
      <c r="Y70" s="138">
        <v>0</v>
      </c>
      <c r="Z70" s="140">
        <v>18.4</v>
      </c>
      <c r="AA70" s="136">
        <f t="shared" si="11"/>
        <v>0.24503863548569352</v>
      </c>
      <c r="AB70" s="141">
        <f>'Data summary'!$F$9</f>
        <v>2</v>
      </c>
      <c r="AC70" s="138">
        <f>'Data summary'!$F$11</f>
        <v>0</v>
      </c>
      <c r="AD70" s="138">
        <f>'Data summary'!$F$10</f>
        <v>600</v>
      </c>
      <c r="AE70" s="138">
        <v>75</v>
      </c>
      <c r="AF70" s="138">
        <v>0</v>
      </c>
      <c r="AG70" s="140">
        <v>18.4</v>
      </c>
      <c r="AH70" s="136">
        <f t="shared" si="12"/>
        <v>0.03892973502354219</v>
      </c>
      <c r="AI70" s="141">
        <f>'Data summary'!$G$9</f>
        <v>0</v>
      </c>
      <c r="AJ70" s="138">
        <f>'Data summary'!$G$11</f>
        <v>0</v>
      </c>
      <c r="AK70" s="138">
        <f>'Data summary'!$G$10</f>
        <v>0</v>
      </c>
      <c r="AL70" s="138">
        <v>75</v>
      </c>
      <c r="AM70" s="138">
        <v>0</v>
      </c>
      <c r="AN70" s="140">
        <v>18.4</v>
      </c>
    </row>
    <row r="71" spans="1:40" ht="16.5" thickBot="1">
      <c r="A71" s="14"/>
      <c r="B71" s="142" t="s">
        <v>46</v>
      </c>
      <c r="C71" s="143">
        <v>31</v>
      </c>
      <c r="D71" s="144">
        <f t="shared" si="6"/>
        <v>3073.267126461716</v>
      </c>
      <c r="E71" s="145">
        <f t="shared" si="7"/>
        <v>167600</v>
      </c>
      <c r="F71" s="146">
        <f t="shared" si="8"/>
        <v>0.44688359812383505</v>
      </c>
      <c r="G71" s="147">
        <f>'Data summary'!$C$9</f>
        <v>200</v>
      </c>
      <c r="H71" s="148">
        <f>'Data summary'!$C$11</f>
        <v>-0.075</v>
      </c>
      <c r="I71" s="148">
        <f>'Data summary'!$C$10</f>
        <v>546.25</v>
      </c>
      <c r="J71" s="148">
        <v>73</v>
      </c>
      <c r="K71" s="149">
        <v>27.032258064516128</v>
      </c>
      <c r="L71" s="150">
        <v>18.4</v>
      </c>
      <c r="M71" s="146">
        <f t="shared" si="9"/>
        <v>0.13723416028714763</v>
      </c>
      <c r="N71" s="151">
        <f>'Data summary'!$D$9</f>
        <v>40</v>
      </c>
      <c r="O71" s="148">
        <f>'Data summary'!$D$11</f>
        <v>1</v>
      </c>
      <c r="P71" s="148">
        <f>'Data summary'!$D$10</f>
        <v>200</v>
      </c>
      <c r="Q71" s="148">
        <v>73</v>
      </c>
      <c r="R71" s="148">
        <v>0</v>
      </c>
      <c r="S71" s="192">
        <v>18.4</v>
      </c>
      <c r="T71" s="146">
        <f t="shared" si="10"/>
        <v>0.09471974924315701</v>
      </c>
      <c r="U71" s="151">
        <f>'Data summary'!$E$9</f>
        <v>40</v>
      </c>
      <c r="V71" s="148">
        <f>'Data summary'!$E$11</f>
        <v>1</v>
      </c>
      <c r="W71" s="148">
        <f>'Data summary'!$E$10</f>
        <v>100</v>
      </c>
      <c r="X71" s="148">
        <v>73</v>
      </c>
      <c r="Y71" s="148">
        <v>0</v>
      </c>
      <c r="Z71" s="150">
        <v>18.4</v>
      </c>
      <c r="AA71" s="146">
        <f t="shared" si="11"/>
        <v>0.24138661736066644</v>
      </c>
      <c r="AB71" s="151">
        <f>'Data summary'!$F$9</f>
        <v>2</v>
      </c>
      <c r="AC71" s="148">
        <f>'Data summary'!$F$11</f>
        <v>0</v>
      </c>
      <c r="AD71" s="148">
        <f>'Data summary'!$F$10</f>
        <v>600</v>
      </c>
      <c r="AE71" s="148">
        <v>73</v>
      </c>
      <c r="AF71" s="148">
        <v>0</v>
      </c>
      <c r="AG71" s="150">
        <v>18.4</v>
      </c>
      <c r="AH71" s="146">
        <f t="shared" si="12"/>
        <v>0.038349532241941334</v>
      </c>
      <c r="AI71" s="151">
        <f>'Data summary'!$G$9</f>
        <v>0</v>
      </c>
      <c r="AJ71" s="148">
        <f>'Data summary'!$G$11</f>
        <v>0</v>
      </c>
      <c r="AK71" s="148">
        <f>'Data summary'!$G$10</f>
        <v>0</v>
      </c>
      <c r="AL71" s="148">
        <v>73</v>
      </c>
      <c r="AM71" s="148">
        <v>0</v>
      </c>
      <c r="AN71" s="150">
        <v>18.4</v>
      </c>
    </row>
    <row r="72" spans="1:7" ht="15.75">
      <c r="A72" s="14"/>
      <c r="B72" s="222">
        <f>SUM(D60:D71)</f>
        <v>32710.62336395493</v>
      </c>
      <c r="C72" s="223" t="s">
        <v>11</v>
      </c>
      <c r="D72" s="224"/>
      <c r="E72" s="106"/>
      <c r="F72" s="106"/>
      <c r="G72" s="106"/>
    </row>
    <row r="73" spans="1:7" ht="15.75">
      <c r="A73" s="12"/>
      <c r="B73" s="225">
        <f>B72*21</f>
        <v>686923.0906430535</v>
      </c>
      <c r="C73" s="152" t="s">
        <v>163</v>
      </c>
      <c r="D73" s="226"/>
      <c r="E73" s="107"/>
      <c r="F73" s="107"/>
      <c r="G73" s="107"/>
    </row>
    <row r="74" spans="1:11" ht="15.75">
      <c r="A74" s="12"/>
      <c r="B74" s="225">
        <f>B72/(SUM('Data summary'!C9:G9))</f>
        <v>115.9951183118969</v>
      </c>
      <c r="C74" s="152" t="s">
        <v>15</v>
      </c>
      <c r="D74" s="227"/>
      <c r="E74" s="106"/>
      <c r="F74" s="106"/>
      <c r="G74" s="106"/>
      <c r="J74" s="119"/>
      <c r="K74" s="119"/>
    </row>
    <row r="75" spans="1:11" ht="16.5" thickBot="1">
      <c r="A75" s="12"/>
      <c r="B75" s="228">
        <f>B74*21/1000</f>
        <v>2.435897484549835</v>
      </c>
      <c r="C75" s="153" t="s">
        <v>14</v>
      </c>
      <c r="D75" s="153"/>
      <c r="G75" s="106"/>
      <c r="J75" s="119"/>
      <c r="K75" s="119"/>
    </row>
    <row r="76" spans="1:11" ht="15.75">
      <c r="A76" s="14"/>
      <c r="B76" s="106"/>
      <c r="G76" s="106"/>
      <c r="H76" s="106"/>
      <c r="I76" s="106"/>
      <c r="J76" s="119"/>
      <c r="K76" s="119"/>
    </row>
    <row r="77" spans="1:11" ht="15.75">
      <c r="A77" s="14"/>
      <c r="B77" s="106"/>
      <c r="G77" s="106"/>
      <c r="H77" s="106"/>
      <c r="I77" s="106"/>
      <c r="K77" s="119"/>
    </row>
    <row r="78" spans="1:9" ht="15.75">
      <c r="A78" s="14"/>
      <c r="B78" s="106"/>
      <c r="G78" s="106"/>
      <c r="H78" s="106"/>
      <c r="I78" s="106"/>
    </row>
    <row r="79" spans="1:9" ht="15.75">
      <c r="A79" s="14"/>
      <c r="B79" s="106"/>
      <c r="G79" s="108"/>
      <c r="H79" s="108"/>
      <c r="I79" s="106"/>
    </row>
    <row r="80" spans="1:9" ht="15.75">
      <c r="A80" s="14"/>
      <c r="B80" s="12"/>
      <c r="G80" s="12"/>
      <c r="H80" s="12"/>
      <c r="I80" s="12"/>
    </row>
    <row r="81" spans="1:9" ht="18.75">
      <c r="A81" s="14"/>
      <c r="B81" s="109"/>
      <c r="G81" s="110"/>
      <c r="H81" s="110"/>
      <c r="I81" s="12"/>
    </row>
    <row r="82" spans="1:9" ht="18.75">
      <c r="A82" s="14"/>
      <c r="B82" s="109"/>
      <c r="G82" s="110"/>
      <c r="H82" s="110"/>
      <c r="I82" s="12"/>
    </row>
    <row r="83" spans="1:9" ht="15.75">
      <c r="A83" s="14"/>
      <c r="B83" s="14"/>
      <c r="G83" s="14"/>
      <c r="H83" s="14"/>
      <c r="I83" s="12"/>
    </row>
    <row r="84" spans="1:9" ht="15.75">
      <c r="A84" s="14"/>
      <c r="B84" s="14"/>
      <c r="G84" s="111"/>
      <c r="H84" s="111"/>
      <c r="I84" s="12"/>
    </row>
    <row r="85" spans="1:9" ht="15.75">
      <c r="A85" s="14"/>
      <c r="B85" s="14"/>
      <c r="G85" s="111"/>
      <c r="H85" s="111"/>
      <c r="I85" s="12"/>
    </row>
    <row r="86" spans="1:9" ht="15.75">
      <c r="A86" s="12"/>
      <c r="B86" s="14"/>
      <c r="G86" s="111"/>
      <c r="H86" s="111"/>
      <c r="I86" s="12"/>
    </row>
    <row r="87" spans="1:9" ht="15.75">
      <c r="A87" s="12"/>
      <c r="B87" s="14"/>
      <c r="G87" s="112"/>
      <c r="H87" s="112"/>
      <c r="I87" s="12"/>
    </row>
    <row r="88" spans="1:9" ht="15.75">
      <c r="A88" s="12"/>
      <c r="B88" s="14"/>
      <c r="C88" s="14"/>
      <c r="D88" s="112"/>
      <c r="E88" s="112"/>
      <c r="F88" s="112"/>
      <c r="G88" s="112"/>
      <c r="H88" s="112"/>
      <c r="I88" s="12"/>
    </row>
    <row r="89" spans="1:9" ht="15.75">
      <c r="A89" s="12"/>
      <c r="B89" s="113"/>
      <c r="C89" s="113"/>
      <c r="D89" s="114"/>
      <c r="E89" s="113"/>
      <c r="F89" s="14"/>
      <c r="G89" s="14"/>
      <c r="H89" s="14"/>
      <c r="I89" s="12"/>
    </row>
    <row r="90" spans="1:9" ht="15.75">
      <c r="A90" s="12"/>
      <c r="B90" s="113"/>
      <c r="C90" s="113"/>
      <c r="D90" s="115"/>
      <c r="E90" s="113"/>
      <c r="F90" s="14"/>
      <c r="G90" s="14"/>
      <c r="H90" s="14"/>
      <c r="I90" s="12"/>
    </row>
    <row r="91" spans="1:9" ht="15.75">
      <c r="A91" s="12"/>
      <c r="B91" s="12"/>
      <c r="C91" s="12"/>
      <c r="D91" s="12"/>
      <c r="E91" s="12"/>
      <c r="F91" s="12"/>
      <c r="G91" s="12"/>
      <c r="H91" s="12"/>
      <c r="I91" s="12"/>
    </row>
    <row r="92" spans="1:9" ht="15.75">
      <c r="A92" s="12"/>
      <c r="B92" s="12"/>
      <c r="C92" s="12"/>
      <c r="D92" s="12"/>
      <c r="E92" s="116"/>
      <c r="F92" s="12"/>
      <c r="G92" s="12"/>
      <c r="H92" s="12"/>
      <c r="I92" s="12"/>
    </row>
    <row r="93" spans="1:9" ht="15.75">
      <c r="A93" s="12"/>
      <c r="B93" s="12"/>
      <c r="C93" s="12"/>
      <c r="D93" s="12"/>
      <c r="E93" s="12"/>
      <c r="F93" s="12"/>
      <c r="G93" s="12"/>
      <c r="H93" s="12"/>
      <c r="I93" s="12"/>
    </row>
    <row r="94" spans="1:9" ht="15.75">
      <c r="A94" s="12"/>
      <c r="B94" s="12"/>
      <c r="C94" s="12"/>
      <c r="D94" s="12"/>
      <c r="E94" s="12"/>
      <c r="F94" s="12"/>
      <c r="G94" s="12"/>
      <c r="H94" s="12"/>
      <c r="I94" s="12"/>
    </row>
    <row r="95" spans="1:13" ht="15.75">
      <c r="A95" s="12"/>
      <c r="B95" s="12"/>
      <c r="C95" s="12"/>
      <c r="D95" s="12"/>
      <c r="E95" s="12"/>
      <c r="F95" s="12"/>
      <c r="G95" s="12"/>
      <c r="H95" s="12"/>
      <c r="I95" s="12"/>
      <c r="K95" s="15"/>
      <c r="L95" s="15"/>
      <c r="M95" s="15"/>
    </row>
    <row r="96" spans="1:13" ht="15.75">
      <c r="A96" s="12"/>
      <c r="B96" s="12"/>
      <c r="C96" s="12"/>
      <c r="D96" s="12"/>
      <c r="E96" s="25"/>
      <c r="F96" s="12"/>
      <c r="G96" s="12"/>
      <c r="H96" s="12"/>
      <c r="I96" s="12"/>
      <c r="K96" s="15"/>
      <c r="L96" s="15"/>
      <c r="M96" s="15"/>
    </row>
    <row r="97" spans="1:9" ht="15.75">
      <c r="A97" s="12"/>
      <c r="B97" s="12"/>
      <c r="C97" s="12"/>
      <c r="D97" s="12"/>
      <c r="E97" s="25"/>
      <c r="F97" s="12"/>
      <c r="G97" s="12"/>
      <c r="H97" s="12"/>
      <c r="I97" s="12"/>
    </row>
    <row r="98" spans="1:9" ht="15.75">
      <c r="A98" s="12"/>
      <c r="B98" s="12"/>
      <c r="C98" s="12"/>
      <c r="D98" s="12"/>
      <c r="E98" s="117"/>
      <c r="F98" s="12"/>
      <c r="G98" s="12"/>
      <c r="H98" s="12"/>
      <c r="I98" s="12"/>
    </row>
    <row r="99" spans="1:9" ht="15.75">
      <c r="A99" s="12"/>
      <c r="B99" s="12"/>
      <c r="C99" s="12"/>
      <c r="D99" s="12"/>
      <c r="E99" s="118"/>
      <c r="F99" s="12"/>
      <c r="G99" s="12"/>
      <c r="H99" s="12"/>
      <c r="I99" s="12"/>
    </row>
    <row r="100" spans="1:9" ht="15.75">
      <c r="A100" s="12"/>
      <c r="B100" s="12"/>
      <c r="C100" s="12"/>
      <c r="D100" s="12"/>
      <c r="E100" s="12"/>
      <c r="F100" s="12"/>
      <c r="G100" s="12"/>
      <c r="H100" s="12"/>
      <c r="I100" s="12"/>
    </row>
    <row r="101" spans="1:9" ht="15.75">
      <c r="A101" s="12"/>
      <c r="B101" s="12"/>
      <c r="C101" s="12"/>
      <c r="D101" s="12"/>
      <c r="E101" s="12"/>
      <c r="F101" s="12"/>
      <c r="G101" s="12"/>
      <c r="H101" s="12"/>
      <c r="I101" s="12"/>
    </row>
  </sheetData>
  <sheetProtection sheet="1"/>
  <mergeCells count="4">
    <mergeCell ref="T58:Z58"/>
    <mergeCell ref="AA58:AG58"/>
    <mergeCell ref="AH58:AN58"/>
    <mergeCell ref="M58:S58"/>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S60"/>
  <sheetViews>
    <sheetView showGridLines="0" zoomScale="80" zoomScaleNormal="80" zoomScalePageLayoutView="0" workbookViewId="0" topLeftCell="A1">
      <selection activeCell="H38" sqref="H38"/>
    </sheetView>
  </sheetViews>
  <sheetFormatPr defaultColWidth="8.8515625" defaultRowHeight="12.75"/>
  <cols>
    <col min="1" max="1" width="2.28125" style="1" bestFit="1" customWidth="1"/>
    <col min="2" max="2" width="34.00390625" style="1" customWidth="1"/>
    <col min="3" max="3" width="17.7109375" style="1" customWidth="1"/>
    <col min="4" max="4" width="16.8515625" style="1" customWidth="1"/>
    <col min="5" max="5" width="13.57421875" style="1" customWidth="1"/>
    <col min="6" max="6" width="13.28125" style="1" customWidth="1"/>
    <col min="7" max="7" width="14.7109375" style="1" customWidth="1"/>
    <col min="8" max="8" width="18.28125" style="1" customWidth="1"/>
    <col min="9" max="9" width="16.57421875" style="1" customWidth="1"/>
    <col min="10" max="10" width="18.8515625" style="189" customWidth="1"/>
    <col min="11" max="11" width="9.7109375" style="1" bestFit="1" customWidth="1"/>
    <col min="12" max="12" width="12.140625" style="1" customWidth="1"/>
    <col min="13" max="13" width="8.8515625" style="1" customWidth="1"/>
    <col min="14" max="14" width="21.7109375" style="1" customWidth="1"/>
    <col min="15" max="15" width="9.28125" style="1" customWidth="1"/>
    <col min="16" max="16" width="11.421875" style="1" bestFit="1" customWidth="1"/>
    <col min="17" max="18" width="9.28125" style="1" bestFit="1" customWidth="1"/>
    <col min="19" max="19" width="16.00390625" style="1" customWidth="1"/>
    <col min="20" max="20" width="19.00390625" style="1" customWidth="1"/>
    <col min="21" max="16384" width="8.8515625" style="1" customWidth="1"/>
  </cols>
  <sheetData>
    <row r="1" spans="2:3" ht="29.25" customHeight="1">
      <c r="B1" s="17" t="s">
        <v>415</v>
      </c>
      <c r="C1" s="17"/>
    </row>
    <row r="2" spans="2:10" ht="15.75">
      <c r="B2" s="16"/>
      <c r="C2" s="16"/>
      <c r="D2" s="15"/>
      <c r="E2" s="15"/>
      <c r="F2" s="15"/>
      <c r="G2" s="15"/>
      <c r="H2" s="15"/>
      <c r="I2" s="15"/>
      <c r="J2" s="193"/>
    </row>
    <row r="3" spans="2:10" ht="15.75">
      <c r="B3" s="229" t="s">
        <v>22</v>
      </c>
      <c r="C3" s="229" t="s">
        <v>304</v>
      </c>
      <c r="D3" s="504" t="str">
        <f>'Data input'!D3</f>
        <v>Milking Cows</v>
      </c>
      <c r="E3" s="504" t="str">
        <f>'Data input'!E3</f>
        <v>Heifers &gt;1 </v>
      </c>
      <c r="F3" s="504" t="str">
        <f>'Data input'!F3</f>
        <v>Heifers &lt;1 </v>
      </c>
      <c r="G3" s="504" t="str">
        <f>'Data input'!G3</f>
        <v>Dairy Bulls&gt;1</v>
      </c>
      <c r="H3" s="504" t="str">
        <f>'Data input'!H3</f>
        <v>Dairy Bulls&lt;1</v>
      </c>
      <c r="I3" s="504" t="str">
        <f>'Data input'!I3</f>
        <v>Units</v>
      </c>
      <c r="J3" s="230" t="s">
        <v>510</v>
      </c>
    </row>
    <row r="4" spans="2:10" ht="15.75">
      <c r="B4" s="167"/>
      <c r="C4" s="167"/>
      <c r="D4" s="168"/>
      <c r="E4" s="168"/>
      <c r="F4" s="168"/>
      <c r="G4" s="168"/>
      <c r="H4" s="168"/>
      <c r="I4" s="167"/>
      <c r="J4" s="208"/>
    </row>
    <row r="5" spans="2:19" ht="15.75">
      <c r="B5" s="167" t="s">
        <v>512</v>
      </c>
      <c r="C5" s="169" t="s">
        <v>297</v>
      </c>
      <c r="D5" s="39">
        <f>'Data input'!D5</f>
        <v>200</v>
      </c>
      <c r="E5" s="39">
        <f>'Data input'!E5</f>
        <v>40</v>
      </c>
      <c r="F5" s="39">
        <f>'Data input'!F5</f>
        <v>40</v>
      </c>
      <c r="G5" s="39">
        <f>'Data input'!G5</f>
        <v>2</v>
      </c>
      <c r="H5" s="39">
        <f>'Data input'!H5</f>
        <v>0</v>
      </c>
      <c r="I5" s="39" t="s">
        <v>296</v>
      </c>
      <c r="J5" s="154"/>
      <c r="M5" s="38"/>
      <c r="N5" s="38"/>
      <c r="O5" s="38"/>
      <c r="P5" s="38"/>
      <c r="Q5" s="38"/>
      <c r="R5" s="38"/>
      <c r="S5" s="38"/>
    </row>
    <row r="6" spans="2:19" ht="15.75">
      <c r="B6" s="39"/>
      <c r="C6" s="169" t="s">
        <v>298</v>
      </c>
      <c r="D6" s="39">
        <f>'Data input'!D6</f>
        <v>200</v>
      </c>
      <c r="E6" s="39">
        <f>'Data input'!E6</f>
        <v>40</v>
      </c>
      <c r="F6" s="39">
        <f>'Data input'!F6</f>
        <v>40</v>
      </c>
      <c r="G6" s="39">
        <f>'Data input'!G6</f>
        <v>2</v>
      </c>
      <c r="H6" s="39">
        <f>'Data input'!H6</f>
        <v>0</v>
      </c>
      <c r="I6" s="39" t="s">
        <v>296</v>
      </c>
      <c r="J6" s="209"/>
      <c r="M6" s="12"/>
      <c r="N6" s="12"/>
      <c r="O6" s="12"/>
      <c r="P6" s="12"/>
      <c r="Q6" s="12"/>
      <c r="R6" s="12"/>
      <c r="S6" s="38"/>
    </row>
    <row r="7" spans="2:19" ht="15.75">
      <c r="B7" s="39"/>
      <c r="C7" s="169" t="s">
        <v>299</v>
      </c>
      <c r="D7" s="39">
        <f>'Data input'!D7</f>
        <v>200</v>
      </c>
      <c r="E7" s="39">
        <f>'Data input'!E7</f>
        <v>40</v>
      </c>
      <c r="F7" s="39">
        <f>'Data input'!F7</f>
        <v>40</v>
      </c>
      <c r="G7" s="39">
        <f>'Data input'!G7</f>
        <v>2</v>
      </c>
      <c r="H7" s="39">
        <f>'Data input'!H7</f>
        <v>0</v>
      </c>
      <c r="I7" s="39" t="s">
        <v>296</v>
      </c>
      <c r="J7" s="209"/>
      <c r="M7" s="12"/>
      <c r="N7" s="12"/>
      <c r="O7" s="12"/>
      <c r="P7" s="12"/>
      <c r="Q7" s="12"/>
      <c r="R7" s="12"/>
      <c r="S7" s="38"/>
    </row>
    <row r="8" spans="2:19" ht="15.75">
      <c r="B8" s="39"/>
      <c r="C8" s="169" t="s">
        <v>300</v>
      </c>
      <c r="D8" s="39">
        <f>'Data input'!D8</f>
        <v>200</v>
      </c>
      <c r="E8" s="39">
        <f>'Data input'!E8</f>
        <v>40</v>
      </c>
      <c r="F8" s="39">
        <f>'Data input'!F8</f>
        <v>40</v>
      </c>
      <c r="G8" s="39">
        <f>'Data input'!G8</f>
        <v>2</v>
      </c>
      <c r="H8" s="39">
        <f>'Data input'!H8</f>
        <v>0</v>
      </c>
      <c r="I8" s="39" t="s">
        <v>296</v>
      </c>
      <c r="J8" s="209"/>
      <c r="K8" s="15"/>
      <c r="M8" s="12"/>
      <c r="N8" s="12"/>
      <c r="O8" s="12"/>
      <c r="P8" s="12"/>
      <c r="Q8" s="12"/>
      <c r="R8" s="12"/>
      <c r="S8" s="38"/>
    </row>
    <row r="9" spans="2:19" ht="15.75">
      <c r="B9" s="39"/>
      <c r="C9" s="39"/>
      <c r="D9" s="39"/>
      <c r="E9" s="39"/>
      <c r="F9" s="39"/>
      <c r="G9" s="39"/>
      <c r="H9" s="39"/>
      <c r="I9" s="39"/>
      <c r="J9" s="209"/>
      <c r="K9" s="113"/>
      <c r="L9" s="38"/>
      <c r="M9" s="38"/>
      <c r="N9" s="38"/>
      <c r="O9" s="38"/>
      <c r="P9" s="38"/>
      <c r="Q9" s="38"/>
      <c r="R9" s="38"/>
      <c r="S9" s="38"/>
    </row>
    <row r="10" spans="2:19" ht="15.75">
      <c r="B10" s="167" t="s">
        <v>170</v>
      </c>
      <c r="C10" s="40">
        <v>0.08</v>
      </c>
      <c r="D10" s="39"/>
      <c r="E10" s="40"/>
      <c r="F10" s="40"/>
      <c r="G10" s="40"/>
      <c r="H10" s="40"/>
      <c r="I10" s="40" t="s">
        <v>48</v>
      </c>
      <c r="J10" s="209"/>
      <c r="K10" s="14"/>
      <c r="L10" s="12"/>
      <c r="M10" s="12"/>
      <c r="N10" s="12"/>
      <c r="O10" s="38"/>
      <c r="P10" s="38"/>
      <c r="Q10" s="38"/>
      <c r="R10" s="38"/>
      <c r="S10" s="38"/>
    </row>
    <row r="11" spans="2:19" ht="15.75">
      <c r="B11" s="167" t="s">
        <v>174</v>
      </c>
      <c r="C11" s="40">
        <v>0.24</v>
      </c>
      <c r="D11" s="39"/>
      <c r="E11" s="40"/>
      <c r="F11" s="40"/>
      <c r="G11" s="40"/>
      <c r="H11" s="40"/>
      <c r="I11" s="40" t="s">
        <v>175</v>
      </c>
      <c r="J11" s="209"/>
      <c r="K11" s="14"/>
      <c r="L11" s="38"/>
      <c r="M11" s="173"/>
      <c r="N11" s="173"/>
      <c r="O11" s="173"/>
      <c r="P11" s="173"/>
      <c r="Q11" s="173"/>
      <c r="R11" s="12"/>
      <c r="S11" s="38"/>
    </row>
    <row r="12" spans="2:19" ht="15.75">
      <c r="B12" s="231" t="s">
        <v>176</v>
      </c>
      <c r="C12" s="232">
        <v>0.662</v>
      </c>
      <c r="D12" s="233"/>
      <c r="E12" s="232"/>
      <c r="F12" s="232"/>
      <c r="G12" s="232"/>
      <c r="H12" s="232"/>
      <c r="I12" s="232" t="s">
        <v>50</v>
      </c>
      <c r="J12" s="234"/>
      <c r="K12" s="14"/>
      <c r="L12" s="38"/>
      <c r="M12" s="38"/>
      <c r="N12" s="38"/>
      <c r="O12" s="38"/>
      <c r="P12" s="174"/>
      <c r="Q12" s="174"/>
      <c r="R12" s="174"/>
      <c r="S12" s="174"/>
    </row>
    <row r="13" spans="2:19" ht="15.75">
      <c r="B13" s="39"/>
      <c r="C13" s="169"/>
      <c r="D13" s="39"/>
      <c r="E13" s="39"/>
      <c r="F13" s="39"/>
      <c r="G13" s="39"/>
      <c r="H13" s="39"/>
      <c r="I13" s="39"/>
      <c r="J13" s="209"/>
      <c r="K13" s="175"/>
      <c r="L13" s="12"/>
      <c r="M13" s="12"/>
      <c r="N13" s="12"/>
      <c r="O13" s="12"/>
      <c r="P13" s="12"/>
      <c r="Q13" s="12"/>
      <c r="R13" s="12"/>
      <c r="S13" s="12"/>
    </row>
    <row r="14" spans="2:19" ht="15.75" customHeight="1">
      <c r="B14" s="167" t="s">
        <v>169</v>
      </c>
      <c r="C14" s="167" t="s">
        <v>168</v>
      </c>
      <c r="D14" s="40"/>
      <c r="E14" s="39"/>
      <c r="F14" s="39"/>
      <c r="G14" s="39"/>
      <c r="H14" s="39"/>
      <c r="I14" s="39"/>
      <c r="J14" s="207" t="s">
        <v>327</v>
      </c>
      <c r="K14" s="14"/>
      <c r="L14" s="38"/>
      <c r="M14" s="12"/>
      <c r="N14" s="12"/>
      <c r="O14" s="12"/>
      <c r="P14" s="12"/>
      <c r="Q14" s="12"/>
      <c r="R14" s="12"/>
      <c r="S14" s="12"/>
    </row>
    <row r="15" spans="2:19" ht="15" customHeight="1">
      <c r="B15" s="39"/>
      <c r="C15" s="169" t="s">
        <v>297</v>
      </c>
      <c r="D15" s="179">
        <f>'Enteric fermentation'!M6*(1-('Enteric fermentation'!D20/100))*(1-$C$10)</f>
        <v>4.849472972384871</v>
      </c>
      <c r="E15" s="179">
        <f>'Enteric fermentation'!N6*(1-('Enteric fermentation'!E20/100))*(1-$C$10)</f>
        <v>1.1720982528</v>
      </c>
      <c r="F15" s="179">
        <f>'Enteric fermentation'!O6*(1-('Enteric fermentation'!F20/100))*(1-$C$10)</f>
        <v>0.8207542271999999</v>
      </c>
      <c r="G15" s="179">
        <f>'Enteric fermentation'!P6*(1-('Enteric fermentation'!G20/100))*(1-$C$10)</f>
        <v>1.9515913632</v>
      </c>
      <c r="H15" s="179">
        <f>'Enteric fermentation'!Q6*(1-('Enteric fermentation'!H20/100))*(1-$C$10)</f>
        <v>0.31005288</v>
      </c>
      <c r="I15" s="40" t="s">
        <v>49</v>
      </c>
      <c r="J15" s="209"/>
      <c r="K15" s="176"/>
      <c r="L15" s="38"/>
      <c r="M15" s="38"/>
      <c r="N15" s="12"/>
      <c r="O15" s="12"/>
      <c r="P15" s="12"/>
      <c r="Q15" s="12"/>
      <c r="R15" s="12"/>
      <c r="S15" s="12"/>
    </row>
    <row r="16" spans="2:19" ht="15" customHeight="1">
      <c r="B16" s="39"/>
      <c r="C16" s="169" t="s">
        <v>298</v>
      </c>
      <c r="D16" s="179">
        <f>'Enteric fermentation'!M7*(1-('Enteric fermentation'!D21/100))*(1-$C$10)</f>
        <v>6.21787504064878</v>
      </c>
      <c r="E16" s="179">
        <f>'Enteric fermentation'!N7*(1-('Enteric fermentation'!E21/100))*(1-$C$10)</f>
        <v>1.465122816</v>
      </c>
      <c r="F16" s="179">
        <f>'Enteric fermentation'!O7*(1-('Enteric fermentation'!F21/100))*(1-$C$10)</f>
        <v>1.0259427840000002</v>
      </c>
      <c r="G16" s="179">
        <f>'Enteric fermentation'!P7*(1-('Enteric fermentation'!G21/100))*(1-$C$10)</f>
        <v>2.4394892040000005</v>
      </c>
      <c r="H16" s="179">
        <f>'Enteric fermentation'!Q7*(1-('Enteric fermentation'!H21/100))*(1-$C$10)</f>
        <v>0.3875661000000001</v>
      </c>
      <c r="I16" s="40" t="s">
        <v>49</v>
      </c>
      <c r="J16" s="209"/>
      <c r="K16" s="176"/>
      <c r="L16" s="38"/>
      <c r="M16" s="12"/>
      <c r="N16" s="12"/>
      <c r="O16" s="12"/>
      <c r="P16" s="12"/>
      <c r="Q16" s="12"/>
      <c r="R16" s="12"/>
      <c r="S16" s="12"/>
    </row>
    <row r="17" spans="2:19" ht="15.75" customHeight="1">
      <c r="B17" s="39"/>
      <c r="C17" s="169" t="s">
        <v>299</v>
      </c>
      <c r="D17" s="179">
        <f>'Enteric fermentation'!M8*(1-('Enteric fermentation'!D22/100))*(1-$C$10)</f>
        <v>6.802830031909355</v>
      </c>
      <c r="E17" s="179">
        <f>'Enteric fermentation'!N8*(1-('Enteric fermentation'!E22/100))*(1-$C$10)</f>
        <v>1.8558222335999996</v>
      </c>
      <c r="F17" s="179">
        <f>'Enteric fermentation'!O8*(1-('Enteric fermentation'!F22/100))*(1-$C$10)</f>
        <v>1.2995275264</v>
      </c>
      <c r="G17" s="179">
        <f>'Enteric fermentation'!P8*(1-('Enteric fermentation'!G22/100))*(1-$C$10)</f>
        <v>3.0900196584</v>
      </c>
      <c r="H17" s="179">
        <f>'Enteric fermentation'!Q8*(1-('Enteric fermentation'!H22/100))*(1-$C$10)</f>
        <v>0.49091706000000007</v>
      </c>
      <c r="I17" s="40" t="s">
        <v>49</v>
      </c>
      <c r="J17" s="209"/>
      <c r="K17" s="177"/>
      <c r="L17" s="38"/>
      <c r="M17" s="12"/>
      <c r="N17" s="12"/>
      <c r="O17" s="12"/>
      <c r="P17" s="12"/>
      <c r="Q17" s="12"/>
      <c r="R17" s="12"/>
      <c r="S17" s="12"/>
    </row>
    <row r="18" spans="2:19" ht="16.5" customHeight="1">
      <c r="B18" s="39"/>
      <c r="C18" s="169" t="s">
        <v>300</v>
      </c>
      <c r="D18" s="179">
        <f>'Enteric fermentation'!M9*(1-('Enteric fermentation'!D23/100))*(1-$C$10)</f>
        <v>2.3530512619939867</v>
      </c>
      <c r="E18" s="179">
        <f>'Enteric fermentation'!N9*(1-('Enteric fermentation'!E23/100))*(1-$C$10)</f>
        <v>1.22093568</v>
      </c>
      <c r="F18" s="179">
        <f>'Enteric fermentation'!O9*(1-('Enteric fermentation'!F23/100))*(1-$C$10)</f>
        <v>0.85495232</v>
      </c>
      <c r="G18" s="179">
        <f>'Enteric fermentation'!P9*(1-('Enteric fermentation'!G23/100))*(1-$C$10)</f>
        <v>2.0329076699999997</v>
      </c>
      <c r="H18" s="179">
        <f>'Enteric fermentation'!Q9*(1-('Enteric fermentation'!H23/100))*(1-$C$10)</f>
        <v>0.32297175</v>
      </c>
      <c r="I18" s="40" t="s">
        <v>49</v>
      </c>
      <c r="J18" s="209"/>
      <c r="K18" s="14"/>
      <c r="L18" s="12"/>
      <c r="M18" s="12"/>
      <c r="N18" s="12"/>
      <c r="O18" s="12"/>
      <c r="P18" s="12"/>
      <c r="Q18" s="12"/>
      <c r="R18" s="12"/>
      <c r="S18" s="12"/>
    </row>
    <row r="19" spans="2:19" ht="15.75">
      <c r="B19" s="39"/>
      <c r="C19" s="39"/>
      <c r="D19" s="39"/>
      <c r="E19" s="39"/>
      <c r="F19" s="39"/>
      <c r="G19" s="39"/>
      <c r="H19" s="39"/>
      <c r="I19" s="39"/>
      <c r="J19" s="209"/>
      <c r="K19" s="14"/>
      <c r="L19" s="12"/>
      <c r="M19" s="12"/>
      <c r="N19" s="12"/>
      <c r="O19" s="12"/>
      <c r="P19" s="12"/>
      <c r="Q19" s="12"/>
      <c r="R19" s="12"/>
      <c r="S19" s="12"/>
    </row>
    <row r="20" spans="2:19" ht="15.75">
      <c r="B20" s="167" t="s">
        <v>171</v>
      </c>
      <c r="C20" s="167" t="s">
        <v>172</v>
      </c>
      <c r="D20" s="40"/>
      <c r="E20" s="40"/>
      <c r="F20" s="41"/>
      <c r="G20" s="41"/>
      <c r="H20" s="39"/>
      <c r="I20" s="41"/>
      <c r="J20" s="207" t="s">
        <v>328</v>
      </c>
      <c r="K20" s="12"/>
      <c r="L20" s="12"/>
      <c r="M20" s="12"/>
      <c r="N20" s="12"/>
      <c r="O20" s="12"/>
      <c r="P20" s="12"/>
      <c r="Q20" s="12"/>
      <c r="R20" s="12"/>
      <c r="S20" s="12"/>
    </row>
    <row r="21" spans="2:19" ht="15.75">
      <c r="B21" s="39"/>
      <c r="C21" s="40" t="s">
        <v>173</v>
      </c>
      <c r="D21" s="39"/>
      <c r="E21" s="39"/>
      <c r="F21" s="39"/>
      <c r="G21" s="39"/>
      <c r="H21" s="39"/>
      <c r="I21" s="39"/>
      <c r="J21" s="209"/>
      <c r="K21" s="12"/>
      <c r="L21" s="12"/>
      <c r="M21" s="12"/>
      <c r="N21" s="12"/>
      <c r="O21" s="12"/>
      <c r="P21" s="12"/>
      <c r="Q21" s="12"/>
      <c r="R21" s="12"/>
      <c r="S21" s="12"/>
    </row>
    <row r="22" spans="2:19" ht="16.5" thickBot="1">
      <c r="B22" s="39"/>
      <c r="C22" s="40"/>
      <c r="D22" s="40"/>
      <c r="E22" s="41"/>
      <c r="F22" s="41"/>
      <c r="G22" s="41"/>
      <c r="H22" s="41"/>
      <c r="I22" s="39"/>
      <c r="J22" s="209"/>
      <c r="K22" s="12"/>
      <c r="L22" s="12"/>
      <c r="M22" s="12"/>
      <c r="N22" s="12"/>
      <c r="O22" s="12"/>
      <c r="P22" s="12"/>
      <c r="Q22" s="12"/>
      <c r="R22" s="12"/>
      <c r="S22" s="12"/>
    </row>
    <row r="23" spans="2:19" ht="16.5" thickBot="1">
      <c r="B23" s="201" t="s">
        <v>1</v>
      </c>
      <c r="C23" s="202" t="s">
        <v>475</v>
      </c>
      <c r="D23" s="202" t="s">
        <v>476</v>
      </c>
      <c r="E23" s="202" t="s">
        <v>477</v>
      </c>
      <c r="F23" s="202" t="s">
        <v>531</v>
      </c>
      <c r="G23" s="202" t="s">
        <v>532</v>
      </c>
      <c r="H23" s="202" t="s">
        <v>335</v>
      </c>
      <c r="I23" s="39"/>
      <c r="J23" s="207" t="s">
        <v>336</v>
      </c>
      <c r="K23" s="12"/>
      <c r="L23" s="12"/>
      <c r="M23" s="12"/>
      <c r="N23" s="12"/>
      <c r="O23" s="12"/>
      <c r="P23" s="12"/>
      <c r="Q23" s="12"/>
      <c r="R23" s="12"/>
      <c r="S23" s="12"/>
    </row>
    <row r="24" spans="1:19" ht="15" customHeight="1">
      <c r="A24" s="38">
        <v>1</v>
      </c>
      <c r="B24" s="197" t="s">
        <v>2</v>
      </c>
      <c r="C24" s="198">
        <v>90</v>
      </c>
      <c r="D24" s="198">
        <v>35</v>
      </c>
      <c r="E24" s="198">
        <v>0.5</v>
      </c>
      <c r="F24" s="198">
        <v>1</v>
      </c>
      <c r="G24" s="198">
        <f>(C24*'Data input'!$C$61%)+(D24*'Data input'!$D$61%)+(E24*'Data input'!$E$61%)+(F24*'Data input'!$I$61%)</f>
        <v>6.5024999999999995</v>
      </c>
      <c r="H24" s="198">
        <v>1</v>
      </c>
      <c r="I24" s="39"/>
      <c r="J24" s="210"/>
      <c r="K24" s="204"/>
      <c r="L24" s="37"/>
      <c r="M24" s="37"/>
      <c r="N24" s="37"/>
      <c r="O24" s="37"/>
      <c r="P24" s="204"/>
      <c r="Q24" s="205"/>
      <c r="R24" s="14"/>
      <c r="S24" s="12"/>
    </row>
    <row r="25" spans="1:19" ht="16.5" customHeight="1">
      <c r="A25" s="38">
        <v>2</v>
      </c>
      <c r="B25" s="197" t="s">
        <v>329</v>
      </c>
      <c r="C25" s="198">
        <v>90</v>
      </c>
      <c r="D25" s="198">
        <v>35</v>
      </c>
      <c r="E25" s="198">
        <v>0.5</v>
      </c>
      <c r="F25" s="198">
        <v>1</v>
      </c>
      <c r="G25" s="198">
        <f>(C25*'Data input'!$C$61%)+(D25*'Data input'!$D$61%)+(E25*'Data input'!$E$61%)+(F25*'Data input'!$I$61%)</f>
        <v>6.5024999999999995</v>
      </c>
      <c r="H25" s="198">
        <v>1</v>
      </c>
      <c r="I25" s="39"/>
      <c r="J25" s="210"/>
      <c r="K25" s="204"/>
      <c r="L25" s="37"/>
      <c r="M25" s="37"/>
      <c r="N25" s="37"/>
      <c r="O25" s="37"/>
      <c r="P25" s="204"/>
      <c r="Q25" s="205"/>
      <c r="R25" s="14"/>
      <c r="S25" s="12"/>
    </row>
    <row r="26" spans="1:19" ht="15" customHeight="1">
      <c r="A26" s="38">
        <v>3</v>
      </c>
      <c r="B26" s="197" t="s">
        <v>330</v>
      </c>
      <c r="C26" s="198">
        <v>90</v>
      </c>
      <c r="D26" s="198">
        <v>35</v>
      </c>
      <c r="E26" s="198">
        <v>0.5</v>
      </c>
      <c r="F26" s="198">
        <v>1</v>
      </c>
      <c r="G26" s="198">
        <f>(C26*'Data input'!$C$61%)+(D26*'Data input'!$D$61%)+(E26*'Data input'!$E$61%)+(F26*'Data input'!$I$61%)</f>
        <v>6.5024999999999995</v>
      </c>
      <c r="H26" s="198">
        <v>1</v>
      </c>
      <c r="I26" s="39"/>
      <c r="J26" s="211"/>
      <c r="K26" s="204"/>
      <c r="L26" s="37"/>
      <c r="M26" s="37"/>
      <c r="N26" s="37"/>
      <c r="O26" s="37"/>
      <c r="P26" s="37"/>
      <c r="Q26" s="194"/>
      <c r="R26" s="178"/>
      <c r="S26" s="178"/>
    </row>
    <row r="27" spans="1:19" ht="15.75">
      <c r="A27" s="38">
        <v>4</v>
      </c>
      <c r="B27" s="197" t="s">
        <v>331</v>
      </c>
      <c r="C27" s="198">
        <v>90</v>
      </c>
      <c r="D27" s="198">
        <v>35</v>
      </c>
      <c r="E27" s="198">
        <v>0.5</v>
      </c>
      <c r="F27" s="198">
        <v>1</v>
      </c>
      <c r="G27" s="198">
        <f>(C27*'Data input'!$C$61%)+(D27*'Data input'!$D$61%)+(E27*'Data input'!$E$61%)+(F27*'Data input'!$I$61%)</f>
        <v>6.5024999999999995</v>
      </c>
      <c r="H27" s="198">
        <v>1</v>
      </c>
      <c r="I27" s="39"/>
      <c r="J27" s="211"/>
      <c r="K27" s="204"/>
      <c r="L27" s="37"/>
      <c r="M27" s="37"/>
      <c r="N27" s="37"/>
      <c r="O27" s="37"/>
      <c r="P27" s="37"/>
      <c r="Q27" s="194"/>
      <c r="R27" s="14"/>
      <c r="S27" s="12"/>
    </row>
    <row r="28" spans="1:19" ht="15.75">
      <c r="A28" s="38">
        <v>5</v>
      </c>
      <c r="B28" s="197" t="s">
        <v>332</v>
      </c>
      <c r="C28" s="198">
        <v>90</v>
      </c>
      <c r="D28" s="198">
        <v>35</v>
      </c>
      <c r="E28" s="198">
        <v>0.5</v>
      </c>
      <c r="F28" s="198">
        <v>1</v>
      </c>
      <c r="G28" s="198">
        <f>(C28*'Data input'!$C$61%)+(D28*'Data input'!$D$61%)+(E28*'Data input'!$E$61%)+(F28*'Data input'!$I$61%)</f>
        <v>6.5024999999999995</v>
      </c>
      <c r="H28" s="198">
        <v>1</v>
      </c>
      <c r="I28" s="39"/>
      <c r="J28" s="211"/>
      <c r="K28" s="204"/>
      <c r="L28" s="37"/>
      <c r="M28" s="37"/>
      <c r="N28" s="37"/>
      <c r="O28" s="37"/>
      <c r="P28" s="37"/>
      <c r="Q28" s="194"/>
      <c r="R28" s="14"/>
      <c r="S28" s="12"/>
    </row>
    <row r="29" spans="1:19" ht="15.75">
      <c r="A29" s="38">
        <v>6</v>
      </c>
      <c r="B29" s="197" t="s">
        <v>333</v>
      </c>
      <c r="C29" s="198">
        <v>90</v>
      </c>
      <c r="D29" s="198">
        <v>65</v>
      </c>
      <c r="E29" s="198">
        <v>1</v>
      </c>
      <c r="F29" s="198">
        <v>2</v>
      </c>
      <c r="G29" s="198">
        <f>(C29*'Data input'!$C$61%)+(D29*'Data input'!$D$61%)+(E29*'Data input'!$E$61%)+(F29*'Data input'!$I$61%)</f>
        <v>7.579999999999999</v>
      </c>
      <c r="H29" s="198">
        <v>2</v>
      </c>
      <c r="I29" s="39"/>
      <c r="J29" s="211"/>
      <c r="K29" s="204"/>
      <c r="L29" s="37"/>
      <c r="M29" s="37"/>
      <c r="N29" s="37"/>
      <c r="O29" s="37"/>
      <c r="P29" s="37"/>
      <c r="Q29" s="194"/>
      <c r="R29" s="14"/>
      <c r="S29" s="12"/>
    </row>
    <row r="30" spans="1:19" ht="16.5" thickBot="1">
      <c r="A30" s="38">
        <v>7</v>
      </c>
      <c r="B30" s="199" t="s">
        <v>334</v>
      </c>
      <c r="C30" s="200">
        <v>90</v>
      </c>
      <c r="D30" s="200">
        <v>65</v>
      </c>
      <c r="E30" s="200">
        <v>1</v>
      </c>
      <c r="F30" s="200">
        <v>2</v>
      </c>
      <c r="G30" s="198">
        <f>(C30*'Data input'!$C$61%)+(D30*'Data input'!$D$61%)+(E30*'Data input'!$E$61%)+(F30*'Data input'!$I$61%)</f>
        <v>7.579999999999999</v>
      </c>
      <c r="H30" s="198">
        <v>2</v>
      </c>
      <c r="I30" s="39"/>
      <c r="J30" s="211"/>
      <c r="K30" s="204"/>
      <c r="L30" s="37"/>
      <c r="M30" s="37"/>
      <c r="N30" s="37"/>
      <c r="O30" s="37"/>
      <c r="P30" s="37"/>
      <c r="Q30" s="194"/>
      <c r="R30" s="14"/>
      <c r="S30" s="12"/>
    </row>
    <row r="31" spans="2:19" ht="16.5" thickBot="1">
      <c r="B31" s="201" t="s">
        <v>6</v>
      </c>
      <c r="C31" s="246"/>
      <c r="D31" s="246"/>
      <c r="E31" s="246"/>
      <c r="F31" s="246"/>
      <c r="G31" s="246">
        <f>VLOOKUP('Data summary'!$C$4,A24:G30,7,FALSE)</f>
        <v>6.5024999999999995</v>
      </c>
      <c r="H31" s="203">
        <f>IF('Data summary'!C4&gt;5,2,1)</f>
        <v>1</v>
      </c>
      <c r="I31" s="39"/>
      <c r="J31" s="211"/>
      <c r="K31" s="204"/>
      <c r="L31" s="37"/>
      <c r="M31" s="37"/>
      <c r="N31" s="37"/>
      <c r="O31" s="37"/>
      <c r="P31" s="37"/>
      <c r="Q31" s="194"/>
      <c r="R31" s="38"/>
      <c r="S31" s="38"/>
    </row>
    <row r="32" spans="2:19" ht="15.75">
      <c r="B32" s="39"/>
      <c r="C32" s="39"/>
      <c r="D32" s="39"/>
      <c r="E32" s="39"/>
      <c r="F32" s="39"/>
      <c r="G32" s="39"/>
      <c r="H32" s="39"/>
      <c r="I32" s="39"/>
      <c r="J32" s="211"/>
      <c r="K32" s="204"/>
      <c r="L32" s="37"/>
      <c r="M32" s="37"/>
      <c r="N32" s="37"/>
      <c r="O32" s="37"/>
      <c r="P32" s="37"/>
      <c r="Q32" s="194"/>
      <c r="R32" s="38"/>
      <c r="S32" s="38"/>
    </row>
    <row r="33" spans="2:19" ht="15.75">
      <c r="B33" s="39"/>
      <c r="C33" s="167" t="s">
        <v>12</v>
      </c>
      <c r="D33" s="39"/>
      <c r="E33" s="39"/>
      <c r="F33" s="39"/>
      <c r="G33" s="39"/>
      <c r="H33" s="39"/>
      <c r="I33" s="39"/>
      <c r="J33" s="210"/>
      <c r="K33" s="204"/>
      <c r="L33" s="194"/>
      <c r="M33" s="194"/>
      <c r="N33" s="194"/>
      <c r="O33" s="194"/>
      <c r="P33" s="194"/>
      <c r="Q33" s="194"/>
      <c r="R33" s="38"/>
      <c r="S33" s="38"/>
    </row>
    <row r="34" spans="2:19" ht="15.75">
      <c r="B34" s="39"/>
      <c r="C34" s="39"/>
      <c r="D34" s="39"/>
      <c r="E34" s="39"/>
      <c r="F34" s="39"/>
      <c r="G34" s="39"/>
      <c r="H34" s="39"/>
      <c r="I34" s="39"/>
      <c r="J34" s="212"/>
      <c r="K34" s="14"/>
      <c r="L34" s="38"/>
      <c r="M34" s="178"/>
      <c r="N34" s="38"/>
      <c r="O34" s="38"/>
      <c r="P34" s="38"/>
      <c r="Q34" s="38"/>
      <c r="R34" s="38"/>
      <c r="S34" s="38"/>
    </row>
    <row r="35" spans="2:19" ht="15.75">
      <c r="B35" s="39"/>
      <c r="C35" s="169" t="s">
        <v>297</v>
      </c>
      <c r="D35" s="180">
        <f>D15*$C$11*$G$31%*SUM('Data summary'!$C$6:$I$6)%*$C$12</f>
        <v>0.050100739387059355</v>
      </c>
      <c r="E35" s="180">
        <f>E15*$C$11*$H$31%*SUM('Data summary'!$C$7:$I$7)%*$C$12</f>
        <v>0.0018622297040486399</v>
      </c>
      <c r="F35" s="180">
        <f>F15*$C$11*$H$31%*SUM('Data summary'!$C$7:$I$7)%*$C$12</f>
        <v>0.0013040143161753598</v>
      </c>
      <c r="G35" s="180">
        <f>G15*$C$11*$H$31%*SUM('Data summary'!$C$7:$I$7)%*$C$12</f>
        <v>0.00310068835785216</v>
      </c>
      <c r="H35" s="180">
        <f>H15*$C$11*$H$31%*SUM('Data summary'!$C$7:$I$7)%*$C$12</f>
        <v>0.000492612015744</v>
      </c>
      <c r="I35" s="40" t="s">
        <v>159</v>
      </c>
      <c r="J35" s="209"/>
      <c r="K35" s="12"/>
      <c r="L35" s="38"/>
      <c r="M35" s="38"/>
      <c r="N35" s="38"/>
      <c r="O35" s="38"/>
      <c r="P35" s="38"/>
      <c r="Q35" s="38"/>
      <c r="R35" s="38"/>
      <c r="S35" s="38"/>
    </row>
    <row r="36" spans="2:19" ht="15.75">
      <c r="B36" s="40"/>
      <c r="C36" s="169" t="s">
        <v>298</v>
      </c>
      <c r="D36" s="180">
        <f>D16*$C$11*$G$31%*SUM('Data summary'!$C$6:$I$6)%*$C$12</f>
        <v>0.06423793651944953</v>
      </c>
      <c r="E36" s="180">
        <f>E16*$C$11*$H$31%*SUM('Data summary'!$C$7:$I$7)%*$C$12</f>
        <v>0.0023277871300608002</v>
      </c>
      <c r="F36" s="180">
        <f>F16*$C$11*$H$31%*SUM('Data summary'!$C$7:$I$7)%*$C$12</f>
        <v>0.0016300178952192005</v>
      </c>
      <c r="G36" s="180">
        <f>G16*$C$11*$H$31%*SUM('Data summary'!$C$7:$I$7)%*$C$12</f>
        <v>0.003875860447315201</v>
      </c>
      <c r="H36" s="180">
        <f>H16*$C$11*$H$31%*SUM('Data summary'!$C$7:$I$7)%*$C$12</f>
        <v>0.0006157650196800001</v>
      </c>
      <c r="I36" s="40" t="s">
        <v>159</v>
      </c>
      <c r="J36" s="208"/>
      <c r="K36" s="12"/>
      <c r="L36" s="38"/>
      <c r="M36" s="38"/>
      <c r="N36" s="178"/>
      <c r="O36" s="38"/>
      <c r="P36" s="38"/>
      <c r="Q36" s="38"/>
      <c r="R36" s="38"/>
      <c r="S36" s="38"/>
    </row>
    <row r="37" spans="2:19" ht="15.75">
      <c r="B37" s="39"/>
      <c r="C37" s="169" t="s">
        <v>299</v>
      </c>
      <c r="D37" s="180">
        <f>D17*$C$11*$G$31%*SUM('Data summary'!$C$6:$I$6)%*$C$12</f>
        <v>0.07028120714642104</v>
      </c>
      <c r="E37" s="180">
        <f>E17*$C$11*$H$31%*SUM('Data summary'!$C$7:$I$7)%*$C$12</f>
        <v>0.0029485303647436793</v>
      </c>
      <c r="F37" s="180">
        <f>F17*$C$11*$H$31%*SUM('Data summary'!$C$7:$I$7)%*$C$12</f>
        <v>0.00206468933394432</v>
      </c>
      <c r="G37" s="180">
        <f>G17*$C$11*$H$31%*SUM('Data summary'!$C$7:$I$7)%*$C$12</f>
        <v>0.00490942323326592</v>
      </c>
      <c r="H37" s="180">
        <f>H17*$C$11*$H$31%*SUM('Data summary'!$C$7:$I$7)%*$C$12</f>
        <v>0.0007799690249280002</v>
      </c>
      <c r="I37" s="40" t="s">
        <v>159</v>
      </c>
      <c r="J37" s="208"/>
      <c r="K37" s="12"/>
      <c r="L37" s="38"/>
      <c r="M37" s="38"/>
      <c r="N37" s="178"/>
      <c r="O37" s="38"/>
      <c r="P37" s="38"/>
      <c r="Q37" s="38"/>
      <c r="R37" s="38"/>
      <c r="S37" s="38"/>
    </row>
    <row r="38" spans="2:19" ht="15.75">
      <c r="B38" s="39"/>
      <c r="C38" s="169" t="s">
        <v>300</v>
      </c>
      <c r="D38" s="180">
        <f>D18*$C$11*$G$31%*SUM('Data summary'!$C$6:$I$6)%*$C$12</f>
        <v>0.024309777312476938</v>
      </c>
      <c r="E38" s="180">
        <f>E18*$C$11*$H$31%*SUM('Data summary'!$C$7:$I$7)%*$C$12</f>
        <v>0.001939822608384</v>
      </c>
      <c r="F38" s="180">
        <f>F18*$C$11*$H$31%*SUM('Data summary'!$C$7:$I$7)%*$C$12</f>
        <v>0.0013583482460159998</v>
      </c>
      <c r="G38" s="180">
        <f>G18*$C$11*$H$31%*SUM('Data summary'!$C$7:$I$7)%*$C$12</f>
        <v>0.0032298837060959996</v>
      </c>
      <c r="H38" s="180">
        <f>H18*$C$11*$H$31%*SUM('Data summary'!$C$7:$I$7)%*$C$12</f>
        <v>0.0005131375164</v>
      </c>
      <c r="I38" s="40" t="s">
        <v>159</v>
      </c>
      <c r="J38" s="208"/>
      <c r="K38" s="12"/>
      <c r="L38" s="38"/>
      <c r="M38" s="38"/>
      <c r="N38" s="38"/>
      <c r="O38" s="38"/>
      <c r="P38" s="38"/>
      <c r="Q38" s="38"/>
      <c r="R38" s="38"/>
      <c r="S38" s="38"/>
    </row>
    <row r="39" spans="2:19" s="15" customFormat="1" ht="15.75">
      <c r="B39" s="42"/>
      <c r="C39" s="42"/>
      <c r="D39" s="42"/>
      <c r="E39" s="42"/>
      <c r="F39" s="42"/>
      <c r="G39" s="42"/>
      <c r="H39" s="42"/>
      <c r="I39" s="42"/>
      <c r="J39" s="212"/>
      <c r="K39" s="14"/>
      <c r="L39" s="14"/>
      <c r="M39" s="14"/>
      <c r="N39" s="14"/>
      <c r="O39" s="14"/>
      <c r="P39" s="14"/>
      <c r="Q39" s="14"/>
      <c r="R39" s="14"/>
      <c r="S39" s="14"/>
    </row>
    <row r="40" spans="2:10" ht="15.75">
      <c r="B40" s="167" t="s">
        <v>177</v>
      </c>
      <c r="C40" s="167"/>
      <c r="D40" s="167"/>
      <c r="E40" s="40"/>
      <c r="F40" s="40"/>
      <c r="G40" s="40"/>
      <c r="H40" s="40"/>
      <c r="I40" s="40"/>
      <c r="J40" s="209"/>
    </row>
    <row r="41" spans="2:10" ht="15.75">
      <c r="B41" s="40"/>
      <c r="C41" s="167" t="s">
        <v>455</v>
      </c>
      <c r="D41" s="40"/>
      <c r="E41" s="40"/>
      <c r="F41" s="40"/>
      <c r="G41" s="40"/>
      <c r="H41" s="40"/>
      <c r="I41" s="40"/>
      <c r="J41" s="207" t="s">
        <v>338</v>
      </c>
    </row>
    <row r="42" spans="2:10" ht="15.75">
      <c r="B42" s="40"/>
      <c r="C42" s="167"/>
      <c r="D42" s="40"/>
      <c r="E42" s="40"/>
      <c r="F42" s="40"/>
      <c r="G42" s="40"/>
      <c r="H42" s="40"/>
      <c r="I42" s="40"/>
      <c r="J42" s="209"/>
    </row>
    <row r="43" spans="2:10" ht="15.75">
      <c r="B43" s="40"/>
      <c r="C43" s="169" t="s">
        <v>297</v>
      </c>
      <c r="D43" s="180">
        <f aca="true" t="shared" si="0" ref="D43:H46">(91.25*D5*D35)*10^-6</f>
        <v>0.0009143384938138331</v>
      </c>
      <c r="E43" s="180">
        <f t="shared" si="0"/>
        <v>6.797138419777536E-06</v>
      </c>
      <c r="F43" s="180">
        <f t="shared" si="0"/>
        <v>4.759652254040063E-06</v>
      </c>
      <c r="G43" s="180">
        <f t="shared" si="0"/>
        <v>5.658756253080192E-07</v>
      </c>
      <c r="H43" s="180">
        <f t="shared" si="0"/>
        <v>0</v>
      </c>
      <c r="I43" s="40" t="s">
        <v>324</v>
      </c>
      <c r="J43" s="209"/>
    </row>
    <row r="44" spans="2:10" ht="15.75">
      <c r="B44" s="40"/>
      <c r="C44" s="169" t="s">
        <v>298</v>
      </c>
      <c r="D44" s="180">
        <f t="shared" si="0"/>
        <v>0.001172342341479954</v>
      </c>
      <c r="E44" s="180">
        <f t="shared" si="0"/>
        <v>8.49642302472192E-06</v>
      </c>
      <c r="F44" s="180">
        <f t="shared" si="0"/>
        <v>5.949565317550082E-06</v>
      </c>
      <c r="G44" s="180">
        <f t="shared" si="0"/>
        <v>7.073445316350242E-07</v>
      </c>
      <c r="H44" s="180">
        <f t="shared" si="0"/>
        <v>0</v>
      </c>
      <c r="I44" s="40" t="s">
        <v>324</v>
      </c>
      <c r="J44" s="209"/>
    </row>
    <row r="45" spans="2:10" ht="15.75">
      <c r="B45" s="40"/>
      <c r="C45" s="169" t="s">
        <v>299</v>
      </c>
      <c r="D45" s="180">
        <f t="shared" si="0"/>
        <v>0.001282632030422184</v>
      </c>
      <c r="E45" s="180">
        <f t="shared" si="0"/>
        <v>1.0762135831314429E-05</v>
      </c>
      <c r="F45" s="180">
        <f t="shared" si="0"/>
        <v>7.5361160688967665E-06</v>
      </c>
      <c r="G45" s="180">
        <f t="shared" si="0"/>
        <v>8.959697400710303E-07</v>
      </c>
      <c r="H45" s="180">
        <f t="shared" si="0"/>
        <v>0</v>
      </c>
      <c r="I45" s="40" t="s">
        <v>324</v>
      </c>
      <c r="J45" s="209"/>
    </row>
    <row r="46" spans="2:10" ht="15.75">
      <c r="B46" s="40"/>
      <c r="C46" s="169" t="s">
        <v>300</v>
      </c>
      <c r="D46" s="180">
        <f t="shared" si="0"/>
        <v>0.0004436534359527041</v>
      </c>
      <c r="E46" s="180">
        <f t="shared" si="0"/>
        <v>7.080352520601599E-06</v>
      </c>
      <c r="F46" s="180">
        <f t="shared" si="0"/>
        <v>4.9579710979583994E-06</v>
      </c>
      <c r="G46" s="180">
        <f t="shared" si="0"/>
        <v>5.894537763625199E-07</v>
      </c>
      <c r="H46" s="180">
        <f t="shared" si="0"/>
        <v>0</v>
      </c>
      <c r="I46" s="40" t="s">
        <v>324</v>
      </c>
      <c r="J46" s="209"/>
    </row>
    <row r="47" spans="2:10" ht="15.75">
      <c r="B47" s="40"/>
      <c r="C47" s="40"/>
      <c r="D47" s="40"/>
      <c r="E47" s="40"/>
      <c r="F47" s="40"/>
      <c r="G47" s="40"/>
      <c r="H47" s="40"/>
      <c r="I47" s="39"/>
      <c r="J47" s="209"/>
    </row>
    <row r="48" spans="2:10" ht="15.75">
      <c r="B48" s="167" t="s">
        <v>337</v>
      </c>
      <c r="C48" s="297">
        <f>SUM(D43:H46)</f>
        <v>0.003872064299876913</v>
      </c>
      <c r="D48" s="180"/>
      <c r="E48" s="180"/>
      <c r="F48" s="180"/>
      <c r="G48" s="180"/>
      <c r="H48" s="180"/>
      <c r="I48" s="40" t="s">
        <v>178</v>
      </c>
      <c r="J48" s="212"/>
    </row>
    <row r="49" spans="2:10" ht="15.75">
      <c r="B49" s="167" t="s">
        <v>337</v>
      </c>
      <c r="C49" s="343">
        <f>C48*21</f>
        <v>0.08131335029741517</v>
      </c>
      <c r="D49" s="180"/>
      <c r="E49" s="180"/>
      <c r="F49" s="180"/>
      <c r="G49" s="180"/>
      <c r="H49" s="180"/>
      <c r="I49" s="40" t="s">
        <v>179</v>
      </c>
      <c r="J49" s="212"/>
    </row>
    <row r="50" spans="2:10" ht="15.75">
      <c r="B50" s="231" t="s">
        <v>337</v>
      </c>
      <c r="C50" s="344">
        <f>C49*10^3</f>
        <v>81.31335029741517</v>
      </c>
      <c r="D50" s="245"/>
      <c r="E50" s="245"/>
      <c r="F50" s="245"/>
      <c r="G50" s="245"/>
      <c r="H50" s="245"/>
      <c r="I50" s="233" t="s">
        <v>313</v>
      </c>
      <c r="J50" s="234"/>
    </row>
    <row r="51" s="14" customFormat="1" ht="15.75">
      <c r="J51" s="195"/>
    </row>
    <row r="52" s="14" customFormat="1" ht="15.75">
      <c r="J52" s="195"/>
    </row>
    <row r="53" s="14" customFormat="1" ht="15.75">
      <c r="J53" s="195"/>
    </row>
    <row r="54" s="14" customFormat="1" ht="15.75">
      <c r="J54" s="195"/>
    </row>
    <row r="55" s="14" customFormat="1" ht="15.75">
      <c r="J55" s="195"/>
    </row>
    <row r="56" s="14" customFormat="1" ht="12.75" customHeight="1">
      <c r="J56" s="195"/>
    </row>
    <row r="57" s="14" customFormat="1" ht="15.75">
      <c r="J57" s="195"/>
    </row>
    <row r="58" s="14" customFormat="1" ht="15.75">
      <c r="J58" s="195"/>
    </row>
    <row r="59" s="14" customFormat="1" ht="15.75">
      <c r="J59" s="195"/>
    </row>
    <row r="60" s="14" customFormat="1" ht="15.75">
      <c r="J60" s="195"/>
    </row>
  </sheetData>
  <sheetProtection sheet="1"/>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T118"/>
  <sheetViews>
    <sheetView showGridLines="0" zoomScale="80" zoomScaleNormal="80" zoomScalePageLayoutView="0" workbookViewId="0" topLeftCell="A1">
      <selection activeCell="A1" sqref="A1"/>
    </sheetView>
  </sheetViews>
  <sheetFormatPr defaultColWidth="9.140625" defaultRowHeight="12.75"/>
  <cols>
    <col min="1" max="1" width="3.140625" style="12" customWidth="1"/>
    <col min="2" max="2" width="41.8515625" style="12" customWidth="1"/>
    <col min="3" max="3" width="12.28125" style="12" customWidth="1"/>
    <col min="4" max="4" width="19.28125" style="12" customWidth="1"/>
    <col min="5" max="5" width="14.28125" style="12" bestFit="1" customWidth="1"/>
    <col min="6" max="6" width="13.8515625" style="12" bestFit="1" customWidth="1"/>
    <col min="7" max="7" width="16.00390625" style="12" customWidth="1"/>
    <col min="8" max="8" width="17.140625" style="12" customWidth="1"/>
    <col min="9" max="9" width="16.140625" style="12" customWidth="1"/>
    <col min="10" max="10" width="13.421875" style="12" bestFit="1" customWidth="1"/>
    <col min="11" max="11" width="36.28125" style="12" customWidth="1"/>
    <col min="12" max="12" width="13.7109375" style="12" bestFit="1" customWidth="1"/>
    <col min="13" max="13" width="15.28125" style="12" customWidth="1"/>
    <col min="14" max="14" width="11.28125" style="12" customWidth="1"/>
    <col min="15" max="15" width="13.28125" style="12" customWidth="1"/>
    <col min="16" max="16" width="15.421875" style="12" customWidth="1"/>
    <col min="17" max="17" width="16.00390625" style="12" customWidth="1"/>
    <col min="18" max="18" width="20.00390625" style="12" customWidth="1"/>
    <col min="19" max="19" width="19.28125" style="196" customWidth="1"/>
    <col min="20" max="20" width="15.57421875" style="12" customWidth="1"/>
    <col min="21" max="21" width="18.7109375" style="12" customWidth="1"/>
    <col min="22" max="16384" width="9.140625" style="12" customWidth="1"/>
  </cols>
  <sheetData>
    <row r="1" spans="1:4" ht="30.75" customHeight="1">
      <c r="A1" s="28" t="s">
        <v>457</v>
      </c>
      <c r="B1" s="28"/>
      <c r="C1" s="28"/>
      <c r="D1" s="28"/>
    </row>
    <row r="2" ht="14.25" customHeight="1"/>
    <row r="3" spans="2:19" ht="16.5" customHeight="1">
      <c r="B3" s="251" t="s">
        <v>22</v>
      </c>
      <c r="C3" s="251" t="s">
        <v>304</v>
      </c>
      <c r="D3" s="250" t="str">
        <f>'Data input'!D3</f>
        <v>Milking Cows</v>
      </c>
      <c r="E3" s="250" t="str">
        <f>'Data input'!E3</f>
        <v>Heifers &gt;1 </v>
      </c>
      <c r="F3" s="250" t="str">
        <f>'Data input'!F3</f>
        <v>Heifers &lt;1 </v>
      </c>
      <c r="G3" s="250" t="str">
        <f>'Data input'!G3</f>
        <v>Dairy Bulls&gt;1</v>
      </c>
      <c r="H3" s="250" t="str">
        <f>'Data input'!H3</f>
        <v>Dairy Bulls&lt;1</v>
      </c>
      <c r="I3" s="250" t="str">
        <f>'Data input'!I3</f>
        <v>Units</v>
      </c>
      <c r="K3" s="249" t="s">
        <v>314</v>
      </c>
      <c r="L3" s="249" t="s">
        <v>304</v>
      </c>
      <c r="M3" s="250" t="str">
        <f>'Data input'!D3</f>
        <v>Milking Cows</v>
      </c>
      <c r="N3" s="250" t="str">
        <f>'Data input'!E3</f>
        <v>Heifers &gt;1 </v>
      </c>
      <c r="O3" s="250" t="str">
        <f>'Data input'!F3</f>
        <v>Heifers &lt;1 </v>
      </c>
      <c r="P3" s="250" t="str">
        <f>'Data input'!G3</f>
        <v>Dairy Bulls&gt;1</v>
      </c>
      <c r="Q3" s="250" t="str">
        <f>'Data input'!H3</f>
        <v>Dairy Bulls&lt;1</v>
      </c>
      <c r="R3" s="250" t="str">
        <f>'Data input'!I3</f>
        <v>Units</v>
      </c>
      <c r="S3" s="252" t="s">
        <v>510</v>
      </c>
    </row>
    <row r="4" spans="2:19" ht="16.5" customHeight="1">
      <c r="B4" s="46"/>
      <c r="C4" s="46"/>
      <c r="D4" s="46"/>
      <c r="E4" s="46"/>
      <c r="F4" s="46"/>
      <c r="G4" s="46"/>
      <c r="H4" s="46"/>
      <c r="I4" s="46"/>
      <c r="K4" s="33"/>
      <c r="L4" s="33"/>
      <c r="M4" s="33"/>
      <c r="N4" s="33"/>
      <c r="O4" s="33"/>
      <c r="P4" s="33"/>
      <c r="Q4" s="33"/>
      <c r="R4" s="33"/>
      <c r="S4" s="253"/>
    </row>
    <row r="5" spans="1:19" ht="16.5" customHeight="1">
      <c r="A5" s="28"/>
      <c r="B5" s="29" t="s">
        <v>181</v>
      </c>
      <c r="C5" s="333" t="s">
        <v>297</v>
      </c>
      <c r="D5" s="46">
        <f>'Data input'!D23</f>
        <v>25</v>
      </c>
      <c r="E5" s="46">
        <f>'Data input'!E23</f>
        <v>25</v>
      </c>
      <c r="F5" s="46">
        <f>'Data input'!F23</f>
        <v>25</v>
      </c>
      <c r="G5" s="46">
        <f>'Data input'!G23</f>
        <v>25</v>
      </c>
      <c r="H5" s="46">
        <f>'Data input'!H23</f>
        <v>25</v>
      </c>
      <c r="I5" s="46" t="str">
        <f>'Data input'!I23</f>
        <v>%</v>
      </c>
      <c r="K5" s="34" t="s">
        <v>182</v>
      </c>
      <c r="L5" s="33"/>
      <c r="M5" s="34" t="s">
        <v>180</v>
      </c>
      <c r="N5" s="30"/>
      <c r="O5" s="30"/>
      <c r="P5" s="31"/>
      <c r="Q5" s="33"/>
      <c r="R5" s="33"/>
      <c r="S5" s="253" t="s">
        <v>339</v>
      </c>
    </row>
    <row r="6" spans="1:19" ht="16.5" customHeight="1">
      <c r="A6" s="28"/>
      <c r="B6" s="46"/>
      <c r="C6" s="333" t="s">
        <v>298</v>
      </c>
      <c r="D6" s="46">
        <f>'Data input'!D24</f>
        <v>7</v>
      </c>
      <c r="E6" s="46">
        <f>'Data input'!E24</f>
        <v>7</v>
      </c>
      <c r="F6" s="46">
        <f>'Data input'!F24</f>
        <v>7</v>
      </c>
      <c r="G6" s="46">
        <f>'Data input'!G24</f>
        <v>7</v>
      </c>
      <c r="H6" s="46">
        <f>'Data input'!H24</f>
        <v>7</v>
      </c>
      <c r="I6" s="46" t="str">
        <f>'Data input'!I24</f>
        <v>%</v>
      </c>
      <c r="K6" s="33"/>
      <c r="L6" s="181" t="s">
        <v>297</v>
      </c>
      <c r="M6" s="44">
        <f>'Enteric fermentation'!M6*D5%</f>
        <v>5.490798202428522</v>
      </c>
      <c r="N6" s="44">
        <f>'Enteric fermentation'!N6*E5%</f>
        <v>1.3271039999999998</v>
      </c>
      <c r="O6" s="44">
        <f>'Enteric fermentation'!O6*F5%</f>
        <v>0.9292959999999999</v>
      </c>
      <c r="P6" s="44">
        <f>'Enteric fermentation'!P6*G5%</f>
        <v>2.2096822499999997</v>
      </c>
      <c r="Q6" s="44">
        <f>'Enteric fermentation'!Q6*H5%</f>
        <v>0.35105625</v>
      </c>
      <c r="R6" s="33" t="s">
        <v>49</v>
      </c>
      <c r="S6" s="253"/>
    </row>
    <row r="7" spans="1:19" ht="16.5" customHeight="1">
      <c r="A7" s="28"/>
      <c r="B7" s="46"/>
      <c r="C7" s="333" t="s">
        <v>299</v>
      </c>
      <c r="D7" s="46">
        <f>'Data input'!D25</f>
        <v>10</v>
      </c>
      <c r="E7" s="46">
        <f>'Data input'!E25</f>
        <v>10</v>
      </c>
      <c r="F7" s="46">
        <f>'Data input'!F25</f>
        <v>10</v>
      </c>
      <c r="G7" s="46">
        <f>'Data input'!G25</f>
        <v>10</v>
      </c>
      <c r="H7" s="46">
        <f>'Data input'!H25</f>
        <v>10</v>
      </c>
      <c r="I7" s="46" t="str">
        <f>'Data input'!I25</f>
        <v>%</v>
      </c>
      <c r="K7" s="35"/>
      <c r="L7" s="181" t="s">
        <v>298</v>
      </c>
      <c r="M7" s="44">
        <f>'Enteric fermentation'!M7*D6%</f>
        <v>1.5769972929181686</v>
      </c>
      <c r="N7" s="44">
        <f>'Enteric fermentation'!N7*E6%</f>
        <v>0.37158912</v>
      </c>
      <c r="O7" s="44">
        <f>'Enteric fermentation'!O7*F6%</f>
        <v>0.26020287999999997</v>
      </c>
      <c r="P7" s="44">
        <f>'Enteric fermentation'!P7*G6%</f>
        <v>0.6187110299999999</v>
      </c>
      <c r="Q7" s="44">
        <f>'Enteric fermentation'!Q7*H6%</f>
        <v>0.09829575000000002</v>
      </c>
      <c r="R7" s="33" t="s">
        <v>49</v>
      </c>
      <c r="S7" s="253"/>
    </row>
    <row r="8" spans="1:19" ht="16.5" customHeight="1">
      <c r="A8" s="28"/>
      <c r="B8" s="46"/>
      <c r="C8" s="333" t="s">
        <v>300</v>
      </c>
      <c r="D8" s="46">
        <f>'Data input'!D26</f>
        <v>21</v>
      </c>
      <c r="E8" s="46">
        <f>'Data input'!E26</f>
        <v>21</v>
      </c>
      <c r="F8" s="46">
        <f>'Data input'!F26</f>
        <v>21</v>
      </c>
      <c r="G8" s="46">
        <f>'Data input'!G26</f>
        <v>21</v>
      </c>
      <c r="H8" s="46">
        <f>'Data input'!H26</f>
        <v>21</v>
      </c>
      <c r="I8" s="46" t="str">
        <f>'Data input'!I26</f>
        <v>%</v>
      </c>
      <c r="K8" s="32"/>
      <c r="L8" s="181" t="s">
        <v>299</v>
      </c>
      <c r="M8" s="44">
        <f>'Enteric fermentation'!M8*D7%</f>
        <v>1.9458895972280765</v>
      </c>
      <c r="N8" s="44">
        <f>'Enteric fermentation'!N8*E7%</f>
        <v>0.5308415999999999</v>
      </c>
      <c r="O8" s="44">
        <f>'Enteric fermentation'!O8*F7%</f>
        <v>0.3717184</v>
      </c>
      <c r="P8" s="44">
        <f>'Enteric fermentation'!P8*G7%</f>
        <v>0.8838729</v>
      </c>
      <c r="Q8" s="44">
        <f>'Enteric fermentation'!Q8*H7%</f>
        <v>0.1404225</v>
      </c>
      <c r="R8" s="33" t="s">
        <v>49</v>
      </c>
      <c r="S8" s="253"/>
    </row>
    <row r="9" spans="1:19" ht="16.5" customHeight="1">
      <c r="A9" s="28"/>
      <c r="B9" s="46"/>
      <c r="C9" s="46"/>
      <c r="D9" s="46"/>
      <c r="E9" s="46"/>
      <c r="F9" s="46"/>
      <c r="G9" s="46"/>
      <c r="H9" s="46"/>
      <c r="I9" s="46"/>
      <c r="K9" s="33"/>
      <c r="L9" s="181" t="s">
        <v>300</v>
      </c>
      <c r="M9" s="44">
        <f>'Enteric fermentation'!M9*D8%</f>
        <v>2.148438108777118</v>
      </c>
      <c r="N9" s="44">
        <f>'Enteric fermentation'!N9*E8%</f>
        <v>1.1147673599999999</v>
      </c>
      <c r="O9" s="44">
        <f>'Enteric fermentation'!O9*F8%</f>
        <v>0.7806086399999999</v>
      </c>
      <c r="P9" s="44">
        <f>'Enteric fermentation'!P9*G8%</f>
        <v>1.8561330899999997</v>
      </c>
      <c r="Q9" s="44">
        <f>'Enteric fermentation'!Q9*H8%</f>
        <v>0.29488725</v>
      </c>
      <c r="R9" s="33" t="s">
        <v>49</v>
      </c>
      <c r="S9" s="253"/>
    </row>
    <row r="10" spans="1:19" ht="16.5" customHeight="1">
      <c r="A10" s="28"/>
      <c r="B10" s="29" t="s">
        <v>150</v>
      </c>
      <c r="C10" s="333" t="s">
        <v>297</v>
      </c>
      <c r="D10" s="46">
        <f>'Data input'!D29</f>
        <v>76</v>
      </c>
      <c r="E10" s="46">
        <f>'Data input'!E29</f>
        <v>76</v>
      </c>
      <c r="F10" s="46">
        <f>'Data input'!F29</f>
        <v>76</v>
      </c>
      <c r="G10" s="46">
        <f>'Data input'!G29</f>
        <v>76</v>
      </c>
      <c r="H10" s="46">
        <f>'Data input'!H29</f>
        <v>76</v>
      </c>
      <c r="I10" s="46" t="str">
        <f>'Data input'!I29</f>
        <v>%</v>
      </c>
      <c r="K10" s="36"/>
      <c r="L10" s="36"/>
      <c r="M10" s="36"/>
      <c r="N10" s="36"/>
      <c r="O10" s="36"/>
      <c r="P10" s="43"/>
      <c r="Q10" s="33"/>
      <c r="R10" s="33"/>
      <c r="S10" s="253"/>
    </row>
    <row r="11" spans="1:19" ht="16.5" customHeight="1">
      <c r="A11" s="28"/>
      <c r="B11" s="46"/>
      <c r="C11" s="333" t="s">
        <v>298</v>
      </c>
      <c r="D11" s="46">
        <f>'Data input'!D30</f>
        <v>70</v>
      </c>
      <c r="E11" s="46">
        <f>'Data input'!E30</f>
        <v>70</v>
      </c>
      <c r="F11" s="46">
        <f>'Data input'!F30</f>
        <v>70</v>
      </c>
      <c r="G11" s="46">
        <f>'Data input'!G30</f>
        <v>70</v>
      </c>
      <c r="H11" s="46">
        <f>'Data input'!H30</f>
        <v>70</v>
      </c>
      <c r="I11" s="46" t="str">
        <f>'Data input'!I30</f>
        <v>%</v>
      </c>
      <c r="K11" s="34" t="s">
        <v>186</v>
      </c>
      <c r="L11" s="30"/>
      <c r="M11" s="34" t="s">
        <v>438</v>
      </c>
      <c r="N11" s="30"/>
      <c r="O11" s="30"/>
      <c r="P11" s="31"/>
      <c r="Q11" s="33"/>
      <c r="R11" s="33"/>
      <c r="S11" s="253" t="s">
        <v>340</v>
      </c>
    </row>
    <row r="12" spans="1:19" ht="16.5" customHeight="1">
      <c r="A12" s="28"/>
      <c r="B12" s="46"/>
      <c r="C12" s="333" t="s">
        <v>299</v>
      </c>
      <c r="D12" s="46">
        <f>'Data input'!D31</f>
        <v>62</v>
      </c>
      <c r="E12" s="46">
        <f>'Data input'!E31</f>
        <v>62</v>
      </c>
      <c r="F12" s="46">
        <f>'Data input'!F31</f>
        <v>62</v>
      </c>
      <c r="G12" s="46">
        <f>'Data input'!G31</f>
        <v>62</v>
      </c>
      <c r="H12" s="46">
        <f>'Data input'!H31</f>
        <v>62</v>
      </c>
      <c r="I12" s="46" t="str">
        <f>'Data input'!I31</f>
        <v>%</v>
      </c>
      <c r="K12" s="30"/>
      <c r="L12" s="33"/>
      <c r="M12" s="33" t="s">
        <v>183</v>
      </c>
      <c r="N12" s="30"/>
      <c r="O12" s="30"/>
      <c r="P12" s="31"/>
      <c r="Q12" s="33"/>
      <c r="R12" s="33"/>
      <c r="S12" s="253"/>
    </row>
    <row r="13" spans="1:19" ht="16.5" customHeight="1">
      <c r="A13" s="28"/>
      <c r="B13" s="46"/>
      <c r="C13" s="333" t="s">
        <v>300</v>
      </c>
      <c r="D13" s="46">
        <f>'Data input'!D32</f>
        <v>75</v>
      </c>
      <c r="E13" s="46">
        <f>'Data input'!E32</f>
        <v>75</v>
      </c>
      <c r="F13" s="46">
        <f>'Data input'!F32</f>
        <v>75</v>
      </c>
      <c r="G13" s="46">
        <f>'Data input'!G32</f>
        <v>75</v>
      </c>
      <c r="H13" s="46">
        <f>'Data input'!H32</f>
        <v>75</v>
      </c>
      <c r="I13" s="46" t="str">
        <f>'Data input'!I32</f>
        <v>%</v>
      </c>
      <c r="K13" s="33"/>
      <c r="L13" s="33"/>
      <c r="M13" s="33" t="s">
        <v>184</v>
      </c>
      <c r="N13" s="32"/>
      <c r="O13" s="32"/>
      <c r="P13" s="31"/>
      <c r="Q13" s="33"/>
      <c r="R13" s="33"/>
      <c r="S13" s="253"/>
    </row>
    <row r="14" spans="1:19" ht="16.5" customHeight="1">
      <c r="A14" s="28"/>
      <c r="B14" s="46"/>
      <c r="C14" s="46"/>
      <c r="D14" s="30"/>
      <c r="E14" s="30"/>
      <c r="F14" s="30"/>
      <c r="G14" s="30"/>
      <c r="H14" s="30"/>
      <c r="I14" s="31"/>
      <c r="K14" s="33"/>
      <c r="L14" s="181" t="s">
        <v>297</v>
      </c>
      <c r="M14" s="44">
        <f>(0.3*((M6*(1-((D10+10)/100))))+(0.105*(D15*'Enteric fermentation'!M6*0.008))+(0.0152*'Enteric fermentation'!M6))/6.25</f>
        <v>0.1232358473510558</v>
      </c>
      <c r="N14" s="44">
        <f>(0.3*((N6*(1-((E10+10)/100))))+(0.105*(E15*'Enteric fermentation'!N6*0.008))+(0.0152*'Enteric fermentation'!N6))/6.25</f>
        <v>0.029785612206735354</v>
      </c>
      <c r="O14" s="44">
        <f>(0.3*((O6*(1-((F10+10)/100))))+(0.105*(F15*'Enteric fermentation'!O6*0.008))+(0.0152*'Enteric fermentation'!O6))/6.25</f>
        <v>0.020857182467440637</v>
      </c>
      <c r="P14" s="44">
        <f>(0.3*((P6*(1-((G10+10)/100))))+(0.105*(G15*'Enteric fermentation'!P6*0.008))+(0.0152*'Enteric fermentation'!P6))/6.25</f>
        <v>0.04959425832384383</v>
      </c>
      <c r="Q14" s="44">
        <f>(0.3*((Q6*(1-((H10+10)/100))))+(0.105*(H15*'Enteric fermentation'!Q6*0.008))+(0.0152*'Enteric fermentation'!Q6))/6.25</f>
        <v>0.007879130290656</v>
      </c>
      <c r="R14" s="33" t="s">
        <v>49</v>
      </c>
      <c r="S14" s="253"/>
    </row>
    <row r="15" spans="2:19" ht="15.75">
      <c r="B15" s="29" t="s">
        <v>27</v>
      </c>
      <c r="C15" s="333" t="s">
        <v>297</v>
      </c>
      <c r="D15" s="254">
        <f aca="true" t="shared" si="0" ref="D15:H18">0.1604*D10-1.037</f>
        <v>11.153399999999998</v>
      </c>
      <c r="E15" s="254">
        <f t="shared" si="0"/>
        <v>11.153399999999998</v>
      </c>
      <c r="F15" s="254">
        <f t="shared" si="0"/>
        <v>11.153399999999998</v>
      </c>
      <c r="G15" s="254">
        <f t="shared" si="0"/>
        <v>11.153399999999998</v>
      </c>
      <c r="H15" s="254">
        <f t="shared" si="0"/>
        <v>11.153399999999998</v>
      </c>
      <c r="I15" s="458" t="s">
        <v>151</v>
      </c>
      <c r="K15" s="33"/>
      <c r="L15" s="181" t="s">
        <v>298</v>
      </c>
      <c r="M15" s="44">
        <f>(0.3*((M7*(1-((D11+10)/100))))+(0.105*(D16*'Enteric fermentation'!M7*0.008))+(0.0152*'Enteric fermentation'!M7))/6.25</f>
        <v>0.10078523014583056</v>
      </c>
      <c r="N15" s="44">
        <f>(0.3*((N7*(1-((E11+10)/100))))+(0.105*(E16*'Enteric fermentation'!N7*0.008))+(0.0152*'Enteric fermentation'!N7))/6.25</f>
        <v>0.023748103530086394</v>
      </c>
      <c r="O15" s="44">
        <f>(0.3*((O7*(1-((F11+10)/100))))+(0.105*(F16*'Enteric fermentation'!O7*0.008))+(0.0152*'Enteric fermentation'!O7))/6.25</f>
        <v>0.016629456032153597</v>
      </c>
      <c r="P15" s="44">
        <f>(0.3*((P7*(1-((G11+10)/100))))+(0.105*(G16*'Enteric fermentation'!P7*0.008))+(0.0152*'Enteric fermentation'!P7))/6.25</f>
        <v>0.03954156030092159</v>
      </c>
      <c r="Q15" s="44">
        <f>(0.3*((Q7*(1-((H11+10)/100))))+(0.105*(H16*'Enteric fermentation'!Q7*0.008))+(0.0152*'Enteric fermentation'!Q7))/6.25</f>
        <v>0.006282039817439999</v>
      </c>
      <c r="R15" s="33" t="s">
        <v>49</v>
      </c>
      <c r="S15" s="253"/>
    </row>
    <row r="16" spans="2:19" ht="15.75">
      <c r="B16" s="46"/>
      <c r="C16" s="333" t="s">
        <v>298</v>
      </c>
      <c r="D16" s="254">
        <f t="shared" si="0"/>
        <v>10.190999999999999</v>
      </c>
      <c r="E16" s="254">
        <f t="shared" si="0"/>
        <v>10.190999999999999</v>
      </c>
      <c r="F16" s="254">
        <f t="shared" si="0"/>
        <v>10.190999999999999</v>
      </c>
      <c r="G16" s="254">
        <f t="shared" si="0"/>
        <v>10.190999999999999</v>
      </c>
      <c r="H16" s="254">
        <f t="shared" si="0"/>
        <v>10.190999999999999</v>
      </c>
      <c r="I16" s="458" t="s">
        <v>151</v>
      </c>
      <c r="K16" s="33"/>
      <c r="L16" s="181" t="s">
        <v>299</v>
      </c>
      <c r="M16" s="44">
        <f>(0.3*((M8*(1-((D12+10)/100))))+(0.105*(D17*'Enteric fermentation'!M8*0.008))+(0.0152*'Enteric fermentation'!M8))/6.25</f>
        <v>0.09677314334736119</v>
      </c>
      <c r="N16" s="44">
        <f>(0.3*((N8*(1-((E12+10)/100))))+(0.105*(E17*'Enteric fermentation'!N8*0.008))+(0.0152*'Enteric fermentation'!N8))/6.25</f>
        <v>0.026399858617221116</v>
      </c>
      <c r="O16" s="44">
        <f>(0.3*((O8*(1-((F12+10)/100))))+(0.105*(F17*'Enteric fermentation'!O8*0.008))+(0.0152*'Enteric fermentation'!O8))/6.25</f>
        <v>0.018486330395770877</v>
      </c>
      <c r="P16" s="44">
        <f>(0.3*((P8*(1-((G12+10)/100))))+(0.105*(G17*'Enteric fermentation'!P8*0.008))+(0.0152*'Enteric fermentation'!P8))/6.25</f>
        <v>0.04395684060102527</v>
      </c>
      <c r="Q16" s="44">
        <f>(0.3*((Q8*(1-((H12+10)/100))))+(0.105*(H17*'Enteric fermentation'!Q8*0.008))+(0.0152*'Enteric fermentation'!Q8))/6.25</f>
        <v>0.006983503453152001</v>
      </c>
      <c r="R16" s="33" t="s">
        <v>49</v>
      </c>
      <c r="S16" s="253"/>
    </row>
    <row r="17" spans="2:19" ht="15.75">
      <c r="B17" s="46"/>
      <c r="C17" s="333" t="s">
        <v>299</v>
      </c>
      <c r="D17" s="254">
        <f t="shared" si="0"/>
        <v>8.907799999999998</v>
      </c>
      <c r="E17" s="254">
        <f t="shared" si="0"/>
        <v>8.907799999999998</v>
      </c>
      <c r="F17" s="254">
        <f t="shared" si="0"/>
        <v>8.907799999999998</v>
      </c>
      <c r="G17" s="254">
        <f t="shared" si="0"/>
        <v>8.907799999999998</v>
      </c>
      <c r="H17" s="254">
        <f t="shared" si="0"/>
        <v>8.907799999999998</v>
      </c>
      <c r="I17" s="458" t="s">
        <v>151</v>
      </c>
      <c r="K17" s="33"/>
      <c r="L17" s="181" t="s">
        <v>300</v>
      </c>
      <c r="M17" s="44">
        <f>(0.3*((M9*(1-((D13+10)/100))))+(0.105*(D18*'Enteric fermentation'!M9*0.008))+(0.0152*'Enteric fermentation'!M9))/6.25</f>
        <v>0.05546509309743004</v>
      </c>
      <c r="N17" s="44">
        <f>(0.3*((N9*(1-((E13+10)/100))))+(0.105*(E18*'Enteric fermentation'!N9*0.008))+(0.0152*'Enteric fermentation'!N9))/6.25</f>
        <v>0.028779360760627197</v>
      </c>
      <c r="O17" s="44">
        <f>(0.3*((O9*(1-((F13+10)/100))))+(0.105*(F18*'Enteric fermentation'!O9*0.008))+(0.0152*'Enteric fermentation'!O9))/6.25</f>
        <v>0.020152561394892795</v>
      </c>
      <c r="P17" s="44">
        <f>(0.3*((P9*(1-((G13+10)/100))))+(0.105*(G18*'Enteric fermentation'!P9*0.008))+(0.0152*'Enteric fermentation'!P9))/6.25</f>
        <v>0.04791880865335679</v>
      </c>
      <c r="Q17" s="44">
        <f>(0.3*((Q9*(1-((H13+10)/100))))+(0.105*(H18*'Enteric fermentation'!Q9*0.008))+(0.0152*'Enteric fermentation'!Q9))/6.25</f>
        <v>0.00761294854512</v>
      </c>
      <c r="R17" s="33" t="s">
        <v>49</v>
      </c>
      <c r="S17" s="253"/>
    </row>
    <row r="18" spans="2:19" ht="15.75">
      <c r="B18" s="46"/>
      <c r="C18" s="333" t="s">
        <v>300</v>
      </c>
      <c r="D18" s="254">
        <f t="shared" si="0"/>
        <v>10.992999999999999</v>
      </c>
      <c r="E18" s="254">
        <f t="shared" si="0"/>
        <v>10.992999999999999</v>
      </c>
      <c r="F18" s="254">
        <f t="shared" si="0"/>
        <v>10.992999999999999</v>
      </c>
      <c r="G18" s="254">
        <f t="shared" si="0"/>
        <v>10.992999999999999</v>
      </c>
      <c r="H18" s="254">
        <f t="shared" si="0"/>
        <v>10.992999999999999</v>
      </c>
      <c r="I18" s="458" t="s">
        <v>151</v>
      </c>
      <c r="K18" s="33"/>
      <c r="L18" s="33"/>
      <c r="M18" s="33"/>
      <c r="N18" s="33"/>
      <c r="O18" s="33"/>
      <c r="P18" s="33"/>
      <c r="Q18" s="33"/>
      <c r="R18" s="33"/>
      <c r="S18" s="253"/>
    </row>
    <row r="19" spans="2:20" ht="17.25">
      <c r="B19" s="46"/>
      <c r="C19" s="46"/>
      <c r="D19" s="30"/>
      <c r="E19" s="30"/>
      <c r="F19" s="30"/>
      <c r="G19" s="30"/>
      <c r="H19" s="30"/>
      <c r="I19" s="31"/>
      <c r="K19" s="34" t="s">
        <v>185</v>
      </c>
      <c r="L19" s="33"/>
      <c r="M19" s="48" t="s">
        <v>439</v>
      </c>
      <c r="N19" s="45"/>
      <c r="O19" s="45"/>
      <c r="P19" s="45"/>
      <c r="Q19" s="45"/>
      <c r="R19" s="33"/>
      <c r="S19" s="253" t="s">
        <v>341</v>
      </c>
      <c r="T19" s="13"/>
    </row>
    <row r="20" spans="2:19" ht="16.5" thickBot="1">
      <c r="B20" s="63" t="s">
        <v>514</v>
      </c>
      <c r="C20" s="333" t="s">
        <v>297</v>
      </c>
      <c r="D20" s="46">
        <f>'Data input'!D35</f>
        <v>29</v>
      </c>
      <c r="E20" s="46">
        <f>'Data input'!E35</f>
        <v>0</v>
      </c>
      <c r="F20" s="46">
        <f>'Data input'!F35</f>
        <v>0</v>
      </c>
      <c r="G20" s="46">
        <f>'Data input'!G35</f>
        <v>0</v>
      </c>
      <c r="H20" s="46">
        <f>'Data input'!H35</f>
        <v>0</v>
      </c>
      <c r="I20" s="46" t="str">
        <f>'Data input'!I35</f>
        <v>L/day/head</v>
      </c>
      <c r="K20" s="33"/>
      <c r="L20" s="33"/>
      <c r="M20" s="33"/>
      <c r="N20" s="33"/>
      <c r="O20" s="33"/>
      <c r="P20" s="33"/>
      <c r="Q20" s="33"/>
      <c r="R20" s="33"/>
      <c r="S20" s="253"/>
    </row>
    <row r="21" spans="2:19" ht="16.5" thickBot="1">
      <c r="B21" s="46"/>
      <c r="C21" s="333" t="s">
        <v>298</v>
      </c>
      <c r="D21" s="46">
        <f>'Data input'!D36</f>
        <v>25</v>
      </c>
      <c r="E21" s="46">
        <f>'Data input'!E36</f>
        <v>0</v>
      </c>
      <c r="F21" s="46">
        <f>'Data input'!F36</f>
        <v>0</v>
      </c>
      <c r="G21" s="46">
        <f>'Data input'!G36</f>
        <v>0</v>
      </c>
      <c r="H21" s="46">
        <f>'Data input'!H36</f>
        <v>0</v>
      </c>
      <c r="I21" s="46" t="str">
        <f>'Data input'!I36</f>
        <v>L/day/head</v>
      </c>
      <c r="K21" s="49"/>
      <c r="L21" s="50" t="s">
        <v>197</v>
      </c>
      <c r="M21" s="51"/>
      <c r="N21" s="51"/>
      <c r="O21" s="51"/>
      <c r="P21" s="51"/>
      <c r="Q21" s="52"/>
      <c r="R21" s="33"/>
      <c r="S21" s="253" t="s">
        <v>440</v>
      </c>
    </row>
    <row r="22" spans="2:19" ht="15.75">
      <c r="B22" s="46"/>
      <c r="C22" s="333" t="s">
        <v>299</v>
      </c>
      <c r="D22" s="46">
        <f>'Data input'!D37</f>
        <v>18</v>
      </c>
      <c r="E22" s="46">
        <f>'Data input'!E37</f>
        <v>0</v>
      </c>
      <c r="F22" s="46">
        <f>'Data input'!F37</f>
        <v>0</v>
      </c>
      <c r="G22" s="46">
        <f>'Data input'!G37</f>
        <v>0</v>
      </c>
      <c r="H22" s="46">
        <f>'Data input'!H37</f>
        <v>0</v>
      </c>
      <c r="I22" s="46" t="str">
        <f>'Data input'!I37</f>
        <v>L/day/head</v>
      </c>
      <c r="J22" s="13"/>
      <c r="K22" s="33"/>
      <c r="L22" s="50"/>
      <c r="M22" s="51" t="s">
        <v>57</v>
      </c>
      <c r="N22" s="51" t="s">
        <v>53</v>
      </c>
      <c r="O22" s="51" t="s">
        <v>54</v>
      </c>
      <c r="P22" s="51" t="s">
        <v>55</v>
      </c>
      <c r="Q22" s="52" t="s">
        <v>56</v>
      </c>
      <c r="R22" s="33"/>
      <c r="S22" s="253"/>
    </row>
    <row r="23" spans="2:19" ht="15.75">
      <c r="B23" s="46"/>
      <c r="C23" s="333" t="s">
        <v>300</v>
      </c>
      <c r="D23" s="46">
        <f>'Data input'!D38</f>
        <v>5</v>
      </c>
      <c r="E23" s="46">
        <f>'Data input'!E38</f>
        <v>0</v>
      </c>
      <c r="F23" s="46">
        <f>'Data input'!F38</f>
        <v>0</v>
      </c>
      <c r="G23" s="46">
        <f>'Data input'!G38</f>
        <v>0</v>
      </c>
      <c r="H23" s="46">
        <f>'Data input'!H38</f>
        <v>0</v>
      </c>
      <c r="I23" s="46" t="str">
        <f>'Data input'!I38</f>
        <v>L/day/head</v>
      </c>
      <c r="K23" s="49">
        <v>1</v>
      </c>
      <c r="L23" s="53" t="s">
        <v>190</v>
      </c>
      <c r="M23" s="54">
        <v>580</v>
      </c>
      <c r="N23" s="54">
        <v>580</v>
      </c>
      <c r="O23" s="54">
        <v>580</v>
      </c>
      <c r="P23" s="54">
        <v>770</v>
      </c>
      <c r="Q23" s="55">
        <v>770</v>
      </c>
      <c r="R23" s="33"/>
      <c r="S23" s="253"/>
    </row>
    <row r="24" spans="2:19" ht="15.75">
      <c r="B24" s="46"/>
      <c r="C24" s="46"/>
      <c r="D24" s="46"/>
      <c r="E24" s="46"/>
      <c r="F24" s="46"/>
      <c r="G24" s="46"/>
      <c r="H24" s="46"/>
      <c r="I24" s="46"/>
      <c r="K24" s="49">
        <v>2</v>
      </c>
      <c r="L24" s="53" t="s">
        <v>191</v>
      </c>
      <c r="M24" s="54">
        <v>550</v>
      </c>
      <c r="N24" s="54">
        <v>550</v>
      </c>
      <c r="O24" s="54">
        <v>550</v>
      </c>
      <c r="P24" s="54">
        <v>770</v>
      </c>
      <c r="Q24" s="55">
        <v>770</v>
      </c>
      <c r="R24" s="33"/>
      <c r="S24" s="253"/>
    </row>
    <row r="25" spans="2:19" ht="15.75">
      <c r="B25" s="63" t="s">
        <v>188</v>
      </c>
      <c r="C25" s="333" t="s">
        <v>297</v>
      </c>
      <c r="D25" s="254">
        <f>'Enteric fermentation'!M25</f>
        <v>2.791449291240697</v>
      </c>
      <c r="E25" s="254">
        <f>'Enteric fermentation'!N25</f>
        <v>1.3418234679879608</v>
      </c>
      <c r="F25" s="254">
        <f>'Enteric fermentation'!O25</f>
        <v>1.428714078767177</v>
      </c>
      <c r="G25" s="254">
        <f>'Enteric fermentation'!P25</f>
        <v>1</v>
      </c>
      <c r="H25" s="254">
        <f>'Enteric fermentation'!Q25</f>
        <v>1</v>
      </c>
      <c r="I25" s="46" t="str">
        <f>'Enteric fermentation'!R25</f>
        <v>kg DM/head/day</v>
      </c>
      <c r="K25" s="49">
        <v>3</v>
      </c>
      <c r="L25" s="53" t="s">
        <v>192</v>
      </c>
      <c r="M25" s="54">
        <v>550</v>
      </c>
      <c r="N25" s="54">
        <v>550</v>
      </c>
      <c r="O25" s="54">
        <v>550</v>
      </c>
      <c r="P25" s="54">
        <v>770</v>
      </c>
      <c r="Q25" s="55">
        <v>770</v>
      </c>
      <c r="R25" s="49"/>
      <c r="S25" s="253"/>
    </row>
    <row r="26" spans="2:19" ht="15.75">
      <c r="B26" s="46"/>
      <c r="C26" s="333" t="s">
        <v>298</v>
      </c>
      <c r="D26" s="254">
        <f>'Enteric fermentation'!M26</f>
        <v>2.4609251330770983</v>
      </c>
      <c r="E26" s="254">
        <f>'Enteric fermentation'!N26</f>
        <v>1.3418234679879608</v>
      </c>
      <c r="F26" s="254">
        <f>'Enteric fermentation'!O26</f>
        <v>1.428714078767177</v>
      </c>
      <c r="G26" s="254">
        <f>'Enteric fermentation'!P26</f>
        <v>1</v>
      </c>
      <c r="H26" s="254">
        <f>'Enteric fermentation'!Q26</f>
        <v>1</v>
      </c>
      <c r="I26" s="46" t="str">
        <f>'Enteric fermentation'!R26</f>
        <v>kg DM/head/day</v>
      </c>
      <c r="K26" s="49">
        <v>4</v>
      </c>
      <c r="L26" s="53" t="s">
        <v>193</v>
      </c>
      <c r="M26" s="54">
        <v>550</v>
      </c>
      <c r="N26" s="54">
        <v>550</v>
      </c>
      <c r="O26" s="54">
        <v>550</v>
      </c>
      <c r="P26" s="54">
        <v>770</v>
      </c>
      <c r="Q26" s="55">
        <v>770</v>
      </c>
      <c r="R26" s="33"/>
      <c r="S26" s="253"/>
    </row>
    <row r="27" spans="2:19" ht="15.75">
      <c r="B27" s="46"/>
      <c r="C27" s="333" t="s">
        <v>299</v>
      </c>
      <c r="D27" s="254">
        <f>'Enteric fermentation'!M27</f>
        <v>2.2946873629960036</v>
      </c>
      <c r="E27" s="254">
        <f>'Enteric fermentation'!N27</f>
        <v>1.3418234679879608</v>
      </c>
      <c r="F27" s="254">
        <f>'Enteric fermentation'!O27</f>
        <v>1.428714078767177</v>
      </c>
      <c r="G27" s="254">
        <f>'Enteric fermentation'!P27</f>
        <v>1</v>
      </c>
      <c r="H27" s="254">
        <f>'Enteric fermentation'!Q27</f>
        <v>1</v>
      </c>
      <c r="I27" s="46" t="str">
        <f>'Enteric fermentation'!R27</f>
        <v>kg DM/head/day</v>
      </c>
      <c r="K27" s="49">
        <v>5</v>
      </c>
      <c r="L27" s="53" t="s">
        <v>194</v>
      </c>
      <c r="M27" s="54">
        <v>550</v>
      </c>
      <c r="N27" s="54">
        <v>550</v>
      </c>
      <c r="O27" s="54">
        <v>550</v>
      </c>
      <c r="P27" s="54">
        <v>770</v>
      </c>
      <c r="Q27" s="55">
        <v>770</v>
      </c>
      <c r="R27" s="33"/>
      <c r="S27" s="253"/>
    </row>
    <row r="28" spans="2:19" ht="15.75">
      <c r="B28" s="46"/>
      <c r="C28" s="333" t="s">
        <v>300</v>
      </c>
      <c r="D28" s="254">
        <f>'Enteric fermentation'!M28</f>
        <v>1.328247437119211</v>
      </c>
      <c r="E28" s="254">
        <f>'Enteric fermentation'!N28</f>
        <v>1.3418234679879608</v>
      </c>
      <c r="F28" s="254">
        <f>'Enteric fermentation'!O28</f>
        <v>1.428714078767177</v>
      </c>
      <c r="G28" s="254">
        <f>'Enteric fermentation'!P28</f>
        <v>1</v>
      </c>
      <c r="H28" s="254">
        <f>'Enteric fermentation'!Q28</f>
        <v>1</v>
      </c>
      <c r="I28" s="46" t="str">
        <f>'Enteric fermentation'!R28</f>
        <v>kg DM/head/day</v>
      </c>
      <c r="K28" s="49">
        <v>6</v>
      </c>
      <c r="L28" s="53" t="s">
        <v>195</v>
      </c>
      <c r="M28" s="54">
        <v>580</v>
      </c>
      <c r="N28" s="54">
        <v>580</v>
      </c>
      <c r="O28" s="54">
        <v>580</v>
      </c>
      <c r="P28" s="54">
        <v>770</v>
      </c>
      <c r="Q28" s="55">
        <v>770</v>
      </c>
      <c r="R28" s="33"/>
      <c r="S28" s="253"/>
    </row>
    <row r="29" spans="2:19" ht="16.5" thickBot="1">
      <c r="B29" s="46"/>
      <c r="C29" s="46"/>
      <c r="D29" s="46"/>
      <c r="E29" s="46"/>
      <c r="F29" s="46"/>
      <c r="G29" s="46"/>
      <c r="H29" s="46"/>
      <c r="I29" s="46"/>
      <c r="K29" s="49">
        <v>7</v>
      </c>
      <c r="L29" s="53" t="s">
        <v>196</v>
      </c>
      <c r="M29" s="54">
        <v>550</v>
      </c>
      <c r="N29" s="54">
        <v>550</v>
      </c>
      <c r="O29" s="54">
        <v>550</v>
      </c>
      <c r="P29" s="54">
        <v>770</v>
      </c>
      <c r="Q29" s="55">
        <v>770</v>
      </c>
      <c r="R29" s="33"/>
      <c r="S29" s="253"/>
    </row>
    <row r="30" spans="2:19" ht="16.5" thickBot="1">
      <c r="B30" s="29" t="s">
        <v>513</v>
      </c>
      <c r="C30" s="333" t="s">
        <v>297</v>
      </c>
      <c r="D30" s="46">
        <f>'Data input'!D11</f>
        <v>500</v>
      </c>
      <c r="E30" s="46">
        <f>'Data input'!E11</f>
        <v>200</v>
      </c>
      <c r="F30" s="46">
        <f>'Data input'!F11</f>
        <v>100</v>
      </c>
      <c r="G30" s="46">
        <f>'Data input'!G11</f>
        <v>600</v>
      </c>
      <c r="H30" s="46">
        <f>'Data input'!H11</f>
        <v>0</v>
      </c>
      <c r="I30" s="46" t="str">
        <f>'Data input'!I11</f>
        <v>kg/head</v>
      </c>
      <c r="K30" s="33"/>
      <c r="L30" s="56" t="s">
        <v>6</v>
      </c>
      <c r="M30" s="57">
        <f>VLOOKUP('Data summary'!$C$4,$K$23:$Q$29,3,FALSE)</f>
        <v>580</v>
      </c>
      <c r="N30" s="57">
        <f>VLOOKUP('Data summary'!$C$4,$K$23:$Q$29,4,FALSE)</f>
        <v>580</v>
      </c>
      <c r="O30" s="57">
        <f>VLOOKUP('Data summary'!$C$4,$K$23:$Q$29,5,FALSE)</f>
        <v>580</v>
      </c>
      <c r="P30" s="57">
        <f>VLOOKUP('Data summary'!$C$4,$K$23:$Q$29,6,FALSE)</f>
        <v>770</v>
      </c>
      <c r="Q30" s="58">
        <f>VLOOKUP('Data summary'!$C$4,$K$23:$Q$29,7,FALSE)</f>
        <v>770</v>
      </c>
      <c r="R30" s="33"/>
      <c r="S30" s="253"/>
    </row>
    <row r="31" spans="2:19" ht="15.75">
      <c r="B31" s="46"/>
      <c r="C31" s="333" t="s">
        <v>298</v>
      </c>
      <c r="D31" s="46">
        <f>'Data input'!D12</f>
        <v>640</v>
      </c>
      <c r="E31" s="46">
        <f>'Data input'!E12</f>
        <v>200</v>
      </c>
      <c r="F31" s="46">
        <f>'Data input'!F12</f>
        <v>100</v>
      </c>
      <c r="G31" s="46">
        <f>'Data input'!G12</f>
        <v>600</v>
      </c>
      <c r="H31" s="46">
        <f>'Data input'!H12</f>
        <v>0</v>
      </c>
      <c r="I31" s="46" t="str">
        <f>'Data input'!I12</f>
        <v>kg/head</v>
      </c>
      <c r="K31" s="33"/>
      <c r="L31" s="33"/>
      <c r="M31" s="33"/>
      <c r="N31" s="33"/>
      <c r="O31" s="33"/>
      <c r="P31" s="33"/>
      <c r="Q31" s="33"/>
      <c r="R31" s="49"/>
      <c r="S31" s="253"/>
    </row>
    <row r="32" spans="2:19" ht="15.75">
      <c r="B32" s="46"/>
      <c r="C32" s="333" t="s">
        <v>299</v>
      </c>
      <c r="D32" s="46">
        <f>'Data input'!D13</f>
        <v>560</v>
      </c>
      <c r="E32" s="46">
        <f>'Data input'!E13</f>
        <v>200</v>
      </c>
      <c r="F32" s="46">
        <f>'Data input'!F13</f>
        <v>100</v>
      </c>
      <c r="G32" s="46">
        <f>'Data input'!G13</f>
        <v>600</v>
      </c>
      <c r="H32" s="46">
        <f>'Data input'!H13</f>
        <v>0</v>
      </c>
      <c r="I32" s="46" t="str">
        <f>'Data input'!I13</f>
        <v>kg/head</v>
      </c>
      <c r="K32" s="33"/>
      <c r="L32" s="33"/>
      <c r="M32" s="33"/>
      <c r="N32" s="33"/>
      <c r="O32" s="33"/>
      <c r="P32" s="33"/>
      <c r="Q32" s="33"/>
      <c r="R32" s="33"/>
      <c r="S32" s="253"/>
    </row>
    <row r="33" spans="2:19" ht="15.75">
      <c r="B33" s="46"/>
      <c r="C33" s="333" t="s">
        <v>300</v>
      </c>
      <c r="D33" s="46">
        <f>'Data input'!D14</f>
        <v>485</v>
      </c>
      <c r="E33" s="46">
        <f>'Data input'!E14</f>
        <v>200</v>
      </c>
      <c r="F33" s="46">
        <f>'Data input'!F14</f>
        <v>100</v>
      </c>
      <c r="G33" s="46">
        <f>'Data input'!G14</f>
        <v>600</v>
      </c>
      <c r="H33" s="46">
        <f>'Data input'!H14</f>
        <v>0</v>
      </c>
      <c r="I33" s="46" t="str">
        <f>'Data input'!I14</f>
        <v>kg/head</v>
      </c>
      <c r="K33" s="33"/>
      <c r="L33" s="181" t="s">
        <v>297</v>
      </c>
      <c r="M33" s="59">
        <f aca="true" t="shared" si="1" ref="M33:Q36">((0.032*D20)+(0.212-0.008*(D25-2)-((0.14-0.008*(D25-2))/(1+EXP(-6*(D45-0.4)))))*(D35*0.92))/6.25</f>
        <v>0.14848</v>
      </c>
      <c r="N33" s="59">
        <f t="shared" si="1"/>
        <v>0.02304358249489588</v>
      </c>
      <c r="O33" s="59">
        <f t="shared" si="1"/>
        <v>0.027551811473927268</v>
      </c>
      <c r="P33" s="59">
        <f t="shared" si="1"/>
        <v>0</v>
      </c>
      <c r="Q33" s="59">
        <f t="shared" si="1"/>
        <v>0</v>
      </c>
      <c r="R33" s="49" t="s">
        <v>199</v>
      </c>
      <c r="S33" s="253"/>
    </row>
    <row r="34" spans="2:19" ht="15.75">
      <c r="B34" s="46"/>
      <c r="C34" s="46"/>
      <c r="D34" s="46"/>
      <c r="E34" s="46"/>
      <c r="F34" s="46"/>
      <c r="G34" s="46"/>
      <c r="H34" s="46"/>
      <c r="I34" s="46"/>
      <c r="K34" s="33"/>
      <c r="L34" s="181" t="s">
        <v>298</v>
      </c>
      <c r="M34" s="59">
        <f t="shared" si="1"/>
        <v>0.128</v>
      </c>
      <c r="N34" s="59">
        <f t="shared" si="1"/>
        <v>0.02304358249489588</v>
      </c>
      <c r="O34" s="59">
        <f t="shared" si="1"/>
        <v>0.027551811473927268</v>
      </c>
      <c r="P34" s="59">
        <f t="shared" si="1"/>
        <v>0</v>
      </c>
      <c r="Q34" s="59">
        <f t="shared" si="1"/>
        <v>0</v>
      </c>
      <c r="R34" s="49" t="s">
        <v>199</v>
      </c>
      <c r="S34" s="253"/>
    </row>
    <row r="35" spans="2:19" ht="15.75">
      <c r="B35" s="63" t="s">
        <v>189</v>
      </c>
      <c r="C35" s="333" t="s">
        <v>297</v>
      </c>
      <c r="D35" s="46">
        <f>'Data input'!D17</f>
        <v>0</v>
      </c>
      <c r="E35" s="46">
        <f>'Data input'!E17</f>
        <v>1</v>
      </c>
      <c r="F35" s="46">
        <f>'Data input'!F17</f>
        <v>1</v>
      </c>
      <c r="G35" s="46">
        <f>'Data input'!G17</f>
        <v>0</v>
      </c>
      <c r="H35" s="46">
        <f>'Data input'!H17</f>
        <v>0</v>
      </c>
      <c r="I35" s="46" t="str">
        <f>'Data input'!I17</f>
        <v>kg/day</v>
      </c>
      <c r="K35" s="33"/>
      <c r="L35" s="181" t="s">
        <v>299</v>
      </c>
      <c r="M35" s="59">
        <f t="shared" si="1"/>
        <v>0.09216</v>
      </c>
      <c r="N35" s="59">
        <f t="shared" si="1"/>
        <v>0.02304358249489588</v>
      </c>
      <c r="O35" s="59">
        <f t="shared" si="1"/>
        <v>0.027551811473927268</v>
      </c>
      <c r="P35" s="59">
        <f t="shared" si="1"/>
        <v>0</v>
      </c>
      <c r="Q35" s="59">
        <f t="shared" si="1"/>
        <v>0</v>
      </c>
      <c r="R35" s="49" t="s">
        <v>199</v>
      </c>
      <c r="S35" s="253"/>
    </row>
    <row r="36" spans="2:19" ht="15.75">
      <c r="B36" s="46"/>
      <c r="C36" s="333" t="s">
        <v>298</v>
      </c>
      <c r="D36" s="46">
        <f>'Data input'!D18</f>
        <v>0</v>
      </c>
      <c r="E36" s="46">
        <f>'Data input'!E18</f>
        <v>1</v>
      </c>
      <c r="F36" s="46">
        <f>'Data input'!F18</f>
        <v>1</v>
      </c>
      <c r="G36" s="46">
        <f>'Data input'!G18</f>
        <v>0</v>
      </c>
      <c r="H36" s="46">
        <f>'Data input'!H18</f>
        <v>0</v>
      </c>
      <c r="I36" s="46" t="str">
        <f>'Data input'!I18</f>
        <v>kg/day</v>
      </c>
      <c r="K36" s="33"/>
      <c r="L36" s="181" t="s">
        <v>300</v>
      </c>
      <c r="M36" s="59">
        <f t="shared" si="1"/>
        <v>0.02198370170729873</v>
      </c>
      <c r="N36" s="59">
        <f t="shared" si="1"/>
        <v>0.02304358249489588</v>
      </c>
      <c r="O36" s="59">
        <f t="shared" si="1"/>
        <v>0.027551811473927268</v>
      </c>
      <c r="P36" s="59">
        <f t="shared" si="1"/>
        <v>0</v>
      </c>
      <c r="Q36" s="59">
        <f t="shared" si="1"/>
        <v>0</v>
      </c>
      <c r="R36" s="49" t="s">
        <v>199</v>
      </c>
      <c r="S36" s="253"/>
    </row>
    <row r="37" spans="2:19" ht="15.75">
      <c r="B37" s="46"/>
      <c r="C37" s="333" t="s">
        <v>299</v>
      </c>
      <c r="D37" s="46">
        <f>'Data input'!D19</f>
        <v>0</v>
      </c>
      <c r="E37" s="46">
        <f>'Data input'!E19</f>
        <v>1</v>
      </c>
      <c r="F37" s="46">
        <f>'Data input'!F19</f>
        <v>1</v>
      </c>
      <c r="G37" s="46">
        <f>'Data input'!G19</f>
        <v>0</v>
      </c>
      <c r="H37" s="46">
        <f>'Data input'!H19</f>
        <v>0</v>
      </c>
      <c r="I37" s="46" t="str">
        <f>'Data input'!I19</f>
        <v>kg/day</v>
      </c>
      <c r="K37" s="33"/>
      <c r="L37" s="46"/>
      <c r="M37" s="59"/>
      <c r="N37" s="59"/>
      <c r="O37" s="59"/>
      <c r="P37" s="59"/>
      <c r="Q37" s="59"/>
      <c r="R37" s="49"/>
      <c r="S37" s="253"/>
    </row>
    <row r="38" spans="2:19" ht="18.75">
      <c r="B38" s="46"/>
      <c r="C38" s="333" t="s">
        <v>300</v>
      </c>
      <c r="D38" s="46">
        <f>'Data input'!D20</f>
        <v>-0.3</v>
      </c>
      <c r="E38" s="46">
        <f>'Data input'!E20</f>
        <v>1</v>
      </c>
      <c r="F38" s="46">
        <f>'Data input'!F20</f>
        <v>1</v>
      </c>
      <c r="G38" s="46">
        <f>'Data input'!G20</f>
        <v>0</v>
      </c>
      <c r="H38" s="46">
        <f>'Data input'!H20</f>
        <v>0</v>
      </c>
      <c r="I38" s="46" t="str">
        <f>'Data input'!I20</f>
        <v>kg/day</v>
      </c>
      <c r="K38" s="34" t="s">
        <v>198</v>
      </c>
      <c r="L38" s="33"/>
      <c r="M38" s="60" t="s">
        <v>343</v>
      </c>
      <c r="N38" s="59"/>
      <c r="O38" s="59"/>
      <c r="P38" s="59"/>
      <c r="Q38" s="33"/>
      <c r="R38" s="49"/>
      <c r="S38" s="253" t="s">
        <v>342</v>
      </c>
    </row>
    <row r="39" spans="2:19" ht="15.75">
      <c r="B39" s="46"/>
      <c r="C39" s="46"/>
      <c r="D39" s="46"/>
      <c r="E39" s="46"/>
      <c r="F39" s="46"/>
      <c r="G39" s="46"/>
      <c r="H39" s="46"/>
      <c r="I39" s="46"/>
      <c r="K39" s="33"/>
      <c r="L39" s="181" t="s">
        <v>297</v>
      </c>
      <c r="M39" s="59">
        <f aca="true" t="shared" si="2" ref="M39:Q42">(M6/6.25)-M33-M14-((1.1*10^-4*D30^0.75)/6.25)</f>
        <v>0.6049508916138524</v>
      </c>
      <c r="N39" s="59">
        <f t="shared" si="2"/>
        <v>0.15857142522050643</v>
      </c>
      <c r="O39" s="59">
        <f t="shared" si="2"/>
        <v>0.09972180519044245</v>
      </c>
      <c r="P39" s="59">
        <f t="shared" si="2"/>
        <v>0.30182123730321764</v>
      </c>
      <c r="Q39" s="59">
        <f t="shared" si="2"/>
        <v>0.048289869709344</v>
      </c>
      <c r="R39" s="49" t="s">
        <v>199</v>
      </c>
      <c r="S39" s="253"/>
    </row>
    <row r="40" spans="2:19" ht="15.75">
      <c r="B40" s="63" t="s">
        <v>512</v>
      </c>
      <c r="C40" s="333" t="s">
        <v>297</v>
      </c>
      <c r="D40" s="46">
        <f>'Data input'!D5</f>
        <v>200</v>
      </c>
      <c r="E40" s="46">
        <f>'Data input'!E5</f>
        <v>40</v>
      </c>
      <c r="F40" s="46">
        <f>'Data input'!F5</f>
        <v>40</v>
      </c>
      <c r="G40" s="46">
        <f>'Data input'!G5</f>
        <v>2</v>
      </c>
      <c r="H40" s="46">
        <f>'Data input'!H5</f>
        <v>0</v>
      </c>
      <c r="I40" s="46" t="str">
        <f>'Data input'!I5</f>
        <v>head</v>
      </c>
      <c r="K40" s="33"/>
      <c r="L40" s="181" t="s">
        <v>298</v>
      </c>
      <c r="M40" s="59">
        <f t="shared" si="2"/>
        <v>0.02129485434886841</v>
      </c>
      <c r="N40" s="59">
        <f t="shared" si="2"/>
        <v>0.011726553097155404</v>
      </c>
      <c r="O40" s="59">
        <f t="shared" si="2"/>
        <v>-0.0031053675742705065</v>
      </c>
      <c r="P40" s="59">
        <f t="shared" si="2"/>
        <v>0.05731854012613989</v>
      </c>
      <c r="Q40" s="59">
        <f t="shared" si="2"/>
        <v>0.009445280182560004</v>
      </c>
      <c r="R40" s="49" t="s">
        <v>199</v>
      </c>
      <c r="S40" s="253"/>
    </row>
    <row r="41" spans="2:19" ht="15.75">
      <c r="B41" s="46"/>
      <c r="C41" s="333" t="s">
        <v>298</v>
      </c>
      <c r="D41" s="46">
        <f>'Data input'!D6</f>
        <v>200</v>
      </c>
      <c r="E41" s="46">
        <f>'Data input'!E6</f>
        <v>40</v>
      </c>
      <c r="F41" s="46">
        <f>'Data input'!F6</f>
        <v>40</v>
      </c>
      <c r="G41" s="46">
        <f>'Data input'!G6</f>
        <v>2</v>
      </c>
      <c r="H41" s="46">
        <f>'Data input'!H6</f>
        <v>0</v>
      </c>
      <c r="I41" s="46" t="str">
        <f>'Data input'!I6</f>
        <v>head</v>
      </c>
      <c r="K41" s="33"/>
      <c r="L41" s="181" t="s">
        <v>299</v>
      </c>
      <c r="M41" s="59">
        <f t="shared" si="2"/>
        <v>0.1203831257450453</v>
      </c>
      <c r="N41" s="59">
        <f t="shared" si="2"/>
        <v>0.034555194810020666</v>
      </c>
      <c r="O41" s="59">
        <f t="shared" si="2"/>
        <v>0.012880241262112221</v>
      </c>
      <c r="P41" s="59">
        <f t="shared" si="2"/>
        <v>0.09532915902603623</v>
      </c>
      <c r="Q41" s="59">
        <f t="shared" si="2"/>
        <v>0.015484096546848</v>
      </c>
      <c r="R41" s="49" t="s">
        <v>199</v>
      </c>
      <c r="S41" s="315"/>
    </row>
    <row r="42" spans="2:19" ht="15.75">
      <c r="B42" s="46"/>
      <c r="C42" s="333" t="s">
        <v>299</v>
      </c>
      <c r="D42" s="46">
        <f>'Data input'!D7</f>
        <v>200</v>
      </c>
      <c r="E42" s="46">
        <f>'Data input'!E7</f>
        <v>40</v>
      </c>
      <c r="F42" s="46">
        <f>'Data input'!F7</f>
        <v>40</v>
      </c>
      <c r="G42" s="46">
        <f>'Data input'!G7</f>
        <v>2</v>
      </c>
      <c r="H42" s="46">
        <f>'Data input'!H7</f>
        <v>0</v>
      </c>
      <c r="I42" s="46" t="str">
        <f>'Data input'!I7</f>
        <v>head</v>
      </c>
      <c r="K42" s="33"/>
      <c r="L42" s="181" t="s">
        <v>300</v>
      </c>
      <c r="M42" s="59">
        <f t="shared" si="2"/>
        <v>0.2644823600941462</v>
      </c>
      <c r="N42" s="59">
        <f t="shared" si="2"/>
        <v>0.12560381426661457</v>
      </c>
      <c r="O42" s="59">
        <f t="shared" si="2"/>
        <v>0.07663644866299028</v>
      </c>
      <c r="P42" s="59">
        <f t="shared" si="2"/>
        <v>0.24692882137370462</v>
      </c>
      <c r="Q42" s="59">
        <f t="shared" si="2"/>
        <v>0.039569011454879996</v>
      </c>
      <c r="R42" s="49" t="s">
        <v>199</v>
      </c>
      <c r="S42" s="253"/>
    </row>
    <row r="43" spans="2:19" ht="18" customHeight="1">
      <c r="B43" s="46"/>
      <c r="C43" s="333" t="s">
        <v>300</v>
      </c>
      <c r="D43" s="46">
        <f>'Data input'!D8</f>
        <v>200</v>
      </c>
      <c r="E43" s="46">
        <f>'Data input'!E8</f>
        <v>40</v>
      </c>
      <c r="F43" s="46">
        <f>'Data input'!F8</f>
        <v>40</v>
      </c>
      <c r="G43" s="46">
        <f>'Data input'!G8</f>
        <v>2</v>
      </c>
      <c r="H43" s="46">
        <f>'Data input'!H8</f>
        <v>0</v>
      </c>
      <c r="I43" s="46" t="str">
        <f>'Data input'!I8</f>
        <v>head</v>
      </c>
      <c r="K43" s="33"/>
      <c r="L43" s="33"/>
      <c r="M43" s="33"/>
      <c r="N43" s="33"/>
      <c r="O43" s="33"/>
      <c r="P43" s="33"/>
      <c r="Q43" s="33"/>
      <c r="R43" s="49"/>
      <c r="S43" s="253"/>
    </row>
    <row r="44" spans="2:19" ht="15.75">
      <c r="B44" s="46"/>
      <c r="C44" s="46"/>
      <c r="D44" s="46"/>
      <c r="E44" s="46"/>
      <c r="F44" s="46"/>
      <c r="G44" s="46"/>
      <c r="H44" s="46"/>
      <c r="I44" s="46"/>
      <c r="K44" s="34" t="s">
        <v>350</v>
      </c>
      <c r="L44" s="33"/>
      <c r="M44" s="34" t="s">
        <v>346</v>
      </c>
      <c r="N44" s="33"/>
      <c r="O44" s="33"/>
      <c r="P44" s="33"/>
      <c r="Q44" s="33"/>
      <c r="R44" s="49"/>
      <c r="S44" s="253" t="s">
        <v>344</v>
      </c>
    </row>
    <row r="45" spans="2:19" ht="15.75">
      <c r="B45" s="187" t="s">
        <v>187</v>
      </c>
      <c r="C45" s="333" t="s">
        <v>297</v>
      </c>
      <c r="D45" s="494">
        <f aca="true" t="shared" si="3" ref="D45:H48">IF(M$30&gt;0,D30/M$30,0)</f>
        <v>0.8620689655172413</v>
      </c>
      <c r="E45" s="494">
        <f t="shared" si="3"/>
        <v>0.3448275862068966</v>
      </c>
      <c r="F45" s="494">
        <f t="shared" si="3"/>
        <v>0.1724137931034483</v>
      </c>
      <c r="G45" s="494">
        <f t="shared" si="3"/>
        <v>0.7792207792207793</v>
      </c>
      <c r="H45" s="494">
        <f t="shared" si="3"/>
        <v>0</v>
      </c>
      <c r="I45" s="46"/>
      <c r="K45" s="33"/>
      <c r="L45" s="33"/>
      <c r="M45" s="33"/>
      <c r="N45" s="33"/>
      <c r="O45" s="33"/>
      <c r="P45" s="33"/>
      <c r="Q45" s="33"/>
      <c r="R45" s="33"/>
      <c r="S45" s="253"/>
    </row>
    <row r="46" spans="2:19" ht="15.75">
      <c r="B46" s="46"/>
      <c r="C46" s="333" t="s">
        <v>298</v>
      </c>
      <c r="D46" s="494">
        <f t="shared" si="3"/>
        <v>1.103448275862069</v>
      </c>
      <c r="E46" s="494">
        <f t="shared" si="3"/>
        <v>0.3448275862068966</v>
      </c>
      <c r="F46" s="494">
        <f t="shared" si="3"/>
        <v>0.1724137931034483</v>
      </c>
      <c r="G46" s="494">
        <f t="shared" si="3"/>
        <v>0.7792207792207793</v>
      </c>
      <c r="H46" s="494">
        <f t="shared" si="3"/>
        <v>0</v>
      </c>
      <c r="I46" s="334"/>
      <c r="K46" s="33"/>
      <c r="L46" s="181" t="s">
        <v>297</v>
      </c>
      <c r="M46" s="44">
        <f aca="true" t="shared" si="4" ref="M46:Q49">(91.25*D40*M14)*10^-6</f>
        <v>0.002249054214156768</v>
      </c>
      <c r="N46" s="44">
        <f t="shared" si="4"/>
        <v>0.00010871748455458405</v>
      </c>
      <c r="O46" s="44">
        <f t="shared" si="4"/>
        <v>7.612871600615832E-05</v>
      </c>
      <c r="P46" s="44">
        <f t="shared" si="4"/>
        <v>9.0509521441015E-06</v>
      </c>
      <c r="Q46" s="44">
        <f t="shared" si="4"/>
        <v>0</v>
      </c>
      <c r="R46" s="33" t="s">
        <v>348</v>
      </c>
      <c r="S46" s="253"/>
    </row>
    <row r="47" spans="2:19" ht="15.75">
      <c r="B47" s="46"/>
      <c r="C47" s="333" t="s">
        <v>299</v>
      </c>
      <c r="D47" s="494">
        <f t="shared" si="3"/>
        <v>0.9655172413793104</v>
      </c>
      <c r="E47" s="494">
        <f t="shared" si="3"/>
        <v>0.3448275862068966</v>
      </c>
      <c r="F47" s="494">
        <f t="shared" si="3"/>
        <v>0.1724137931034483</v>
      </c>
      <c r="G47" s="494">
        <f t="shared" si="3"/>
        <v>0.7792207792207793</v>
      </c>
      <c r="H47" s="494">
        <f t="shared" si="3"/>
        <v>0</v>
      </c>
      <c r="I47" s="334"/>
      <c r="K47" s="33"/>
      <c r="L47" s="181" t="s">
        <v>298</v>
      </c>
      <c r="M47" s="44">
        <f t="shared" si="4"/>
        <v>0.0018393304501614076</v>
      </c>
      <c r="N47" s="44">
        <f t="shared" si="4"/>
        <v>8.668057788481533E-05</v>
      </c>
      <c r="O47" s="44">
        <f t="shared" si="4"/>
        <v>6.069751451736063E-05</v>
      </c>
      <c r="P47" s="44">
        <f t="shared" si="4"/>
        <v>7.21633475491819E-06</v>
      </c>
      <c r="Q47" s="44">
        <f t="shared" si="4"/>
        <v>0</v>
      </c>
      <c r="R47" s="33" t="s">
        <v>348</v>
      </c>
      <c r="S47" s="253"/>
    </row>
    <row r="48" spans="2:19" ht="15.75">
      <c r="B48" s="46"/>
      <c r="C48" s="333" t="s">
        <v>300</v>
      </c>
      <c r="D48" s="494">
        <f t="shared" si="3"/>
        <v>0.8362068965517241</v>
      </c>
      <c r="E48" s="494">
        <f t="shared" si="3"/>
        <v>0.3448275862068966</v>
      </c>
      <c r="F48" s="494">
        <f t="shared" si="3"/>
        <v>0.1724137931034483</v>
      </c>
      <c r="G48" s="494">
        <f t="shared" si="3"/>
        <v>0.7792207792207793</v>
      </c>
      <c r="H48" s="494">
        <f t="shared" si="3"/>
        <v>0</v>
      </c>
      <c r="I48" s="334"/>
      <c r="K48" s="33"/>
      <c r="L48" s="181" t="s">
        <v>299</v>
      </c>
      <c r="M48" s="44">
        <f t="shared" si="4"/>
        <v>0.0017661098660893416</v>
      </c>
      <c r="N48" s="44">
        <f t="shared" si="4"/>
        <v>9.635948395285707E-05</v>
      </c>
      <c r="O48" s="44">
        <f t="shared" si="4"/>
        <v>6.74751059445637E-05</v>
      </c>
      <c r="P48" s="44">
        <f t="shared" si="4"/>
        <v>8.022123409687111E-06</v>
      </c>
      <c r="Q48" s="44">
        <f t="shared" si="4"/>
        <v>0</v>
      </c>
      <c r="R48" s="33" t="s">
        <v>348</v>
      </c>
      <c r="S48" s="253"/>
    </row>
    <row r="49" spans="2:19" ht="15.75">
      <c r="B49" s="46"/>
      <c r="C49" s="46"/>
      <c r="D49" s="46"/>
      <c r="E49" s="46"/>
      <c r="F49" s="46"/>
      <c r="G49" s="46"/>
      <c r="H49" s="46"/>
      <c r="I49" s="334"/>
      <c r="K49" s="33"/>
      <c r="L49" s="181" t="s">
        <v>300</v>
      </c>
      <c r="M49" s="44">
        <f t="shared" si="4"/>
        <v>0.0010122379490280983</v>
      </c>
      <c r="N49" s="44">
        <f t="shared" si="4"/>
        <v>0.00010504466677628927</v>
      </c>
      <c r="O49" s="44">
        <f t="shared" si="4"/>
        <v>7.355684909135869E-05</v>
      </c>
      <c r="P49" s="44">
        <f t="shared" si="4"/>
        <v>8.745182579237614E-06</v>
      </c>
      <c r="Q49" s="44">
        <f t="shared" si="4"/>
        <v>0</v>
      </c>
      <c r="R49" s="33" t="s">
        <v>348</v>
      </c>
      <c r="S49" s="253"/>
    </row>
    <row r="50" spans="2:19" ht="15.75">
      <c r="B50" s="63" t="s">
        <v>201</v>
      </c>
      <c r="C50" s="32">
        <f>44/28</f>
        <v>1.5714285714285714</v>
      </c>
      <c r="D50" s="46"/>
      <c r="E50" s="46"/>
      <c r="F50" s="46"/>
      <c r="G50" s="46"/>
      <c r="H50" s="46"/>
      <c r="I50" s="46"/>
      <c r="K50" s="33"/>
      <c r="L50" s="33"/>
      <c r="M50" s="33"/>
      <c r="N50" s="33"/>
      <c r="O50" s="33"/>
      <c r="P50" s="33"/>
      <c r="Q50" s="33"/>
      <c r="R50" s="33"/>
      <c r="S50" s="253"/>
    </row>
    <row r="51" spans="2:19" ht="15.75">
      <c r="B51" s="248"/>
      <c r="C51" s="335"/>
      <c r="D51" s="336"/>
      <c r="E51" s="336"/>
      <c r="F51" s="336"/>
      <c r="G51" s="336"/>
      <c r="H51" s="336"/>
      <c r="I51" s="337"/>
      <c r="K51" s="34" t="s">
        <v>351</v>
      </c>
      <c r="L51" s="33"/>
      <c r="M51" s="34" t="s">
        <v>347</v>
      </c>
      <c r="N51" s="33"/>
      <c r="O51" s="33"/>
      <c r="P51" s="33"/>
      <c r="Q51" s="33"/>
      <c r="R51" s="33"/>
      <c r="S51" s="253" t="s">
        <v>345</v>
      </c>
    </row>
    <row r="52" spans="11:19" ht="15.75">
      <c r="K52" s="33"/>
      <c r="L52" s="33"/>
      <c r="M52" s="33"/>
      <c r="N52" s="33"/>
      <c r="O52" s="33"/>
      <c r="P52" s="33"/>
      <c r="Q52" s="33"/>
      <c r="R52" s="33"/>
      <c r="S52" s="253"/>
    </row>
    <row r="53" spans="11:19" ht="15.75">
      <c r="K53" s="33"/>
      <c r="L53" s="181" t="s">
        <v>297</v>
      </c>
      <c r="M53" s="59">
        <f aca="true" t="shared" si="5" ref="M53:Q56">(91.25*D40*M39)*10^-6</f>
        <v>0.011040353771952807</v>
      </c>
      <c r="N53" s="59">
        <f t="shared" si="5"/>
        <v>0.0005787857020548485</v>
      </c>
      <c r="O53" s="59">
        <f t="shared" si="5"/>
        <v>0.00036398458894511493</v>
      </c>
      <c r="P53" s="59">
        <f t="shared" si="5"/>
        <v>5.5082375807837214E-05</v>
      </c>
      <c r="Q53" s="59">
        <f t="shared" si="5"/>
        <v>0</v>
      </c>
      <c r="R53" s="49" t="s">
        <v>348</v>
      </c>
      <c r="S53" s="253"/>
    </row>
    <row r="54" spans="11:19" ht="15.75">
      <c r="K54" s="33"/>
      <c r="L54" s="181" t="s">
        <v>298</v>
      </c>
      <c r="M54" s="59">
        <f t="shared" si="5"/>
        <v>0.00038863109186684845</v>
      </c>
      <c r="N54" s="59">
        <f t="shared" si="5"/>
        <v>4.280191880461722E-05</v>
      </c>
      <c r="O54" s="59">
        <f t="shared" si="5"/>
        <v>-1.1334591646087349E-05</v>
      </c>
      <c r="P54" s="59">
        <f t="shared" si="5"/>
        <v>1.046063357302053E-05</v>
      </c>
      <c r="Q54" s="59">
        <f t="shared" si="5"/>
        <v>0</v>
      </c>
      <c r="R54" s="49" t="s">
        <v>348</v>
      </c>
      <c r="S54" s="253"/>
    </row>
    <row r="55" spans="11:19" ht="15.75">
      <c r="K55" s="33"/>
      <c r="L55" s="181" t="s">
        <v>299</v>
      </c>
      <c r="M55" s="59">
        <f t="shared" si="5"/>
        <v>0.0021969920448470766</v>
      </c>
      <c r="N55" s="59">
        <f t="shared" si="5"/>
        <v>0.00012612646105657544</v>
      </c>
      <c r="O55" s="59">
        <f t="shared" si="5"/>
        <v>4.7012880606709606E-05</v>
      </c>
      <c r="P55" s="59">
        <f t="shared" si="5"/>
        <v>1.739757152225161E-05</v>
      </c>
      <c r="Q55" s="59">
        <f t="shared" si="5"/>
        <v>0</v>
      </c>
      <c r="R55" s="49" t="s">
        <v>348</v>
      </c>
      <c r="S55" s="253"/>
    </row>
    <row r="56" spans="11:19" ht="15.75">
      <c r="K56" s="33"/>
      <c r="L56" s="181" t="s">
        <v>300</v>
      </c>
      <c r="M56" s="59">
        <f t="shared" si="5"/>
        <v>0.004826803071718168</v>
      </c>
      <c r="N56" s="59">
        <f t="shared" si="5"/>
        <v>0.00045845392207314315</v>
      </c>
      <c r="O56" s="59">
        <f t="shared" si="5"/>
        <v>0.0002797230376199145</v>
      </c>
      <c r="P56" s="59">
        <f t="shared" si="5"/>
        <v>4.506450990070109E-05</v>
      </c>
      <c r="Q56" s="59">
        <f t="shared" si="5"/>
        <v>0</v>
      </c>
      <c r="R56" s="49" t="s">
        <v>348</v>
      </c>
      <c r="S56" s="253"/>
    </row>
    <row r="57" spans="11:19" ht="15.75">
      <c r="K57" s="33"/>
      <c r="L57" s="33"/>
      <c r="M57" s="33"/>
      <c r="N57" s="33"/>
      <c r="O57" s="33"/>
      <c r="P57" s="33"/>
      <c r="Q57" s="33"/>
      <c r="R57" s="33"/>
      <c r="S57" s="253"/>
    </row>
    <row r="58" spans="11:19" ht="15.75">
      <c r="K58" s="34" t="s">
        <v>412</v>
      </c>
      <c r="L58" s="33"/>
      <c r="M58" s="34" t="s">
        <v>349</v>
      </c>
      <c r="N58" s="33"/>
      <c r="O58" s="33"/>
      <c r="P58" s="33"/>
      <c r="Q58" s="33"/>
      <c r="R58" s="33"/>
      <c r="S58" s="253"/>
    </row>
    <row r="59" spans="11:19" ht="15.75">
      <c r="K59" s="33"/>
      <c r="L59" s="33"/>
      <c r="M59" s="61"/>
      <c r="N59" s="61"/>
      <c r="O59" s="61"/>
      <c r="P59" s="61"/>
      <c r="Q59" s="61"/>
      <c r="R59" s="49"/>
      <c r="S59" s="253"/>
    </row>
    <row r="60" spans="11:19" ht="15.75">
      <c r="K60" s="33"/>
      <c r="L60" s="181" t="s">
        <v>297</v>
      </c>
      <c r="M60" s="61">
        <f aca="true" t="shared" si="6" ref="M60:Q63">M46+M53</f>
        <v>0.013289407986109576</v>
      </c>
      <c r="N60" s="61">
        <f t="shared" si="6"/>
        <v>0.0006875031866094324</v>
      </c>
      <c r="O60" s="61">
        <f t="shared" si="6"/>
        <v>0.0004401133049512732</v>
      </c>
      <c r="P60" s="61">
        <f t="shared" si="6"/>
        <v>6.413332795193871E-05</v>
      </c>
      <c r="Q60" s="61">
        <f t="shared" si="6"/>
        <v>0</v>
      </c>
      <c r="R60" s="49" t="s">
        <v>348</v>
      </c>
      <c r="S60" s="253"/>
    </row>
    <row r="61" spans="11:19" ht="15.75">
      <c r="K61" s="33"/>
      <c r="L61" s="181" t="s">
        <v>298</v>
      </c>
      <c r="M61" s="61">
        <f t="shared" si="6"/>
        <v>0.002227961542028256</v>
      </c>
      <c r="N61" s="61">
        <f t="shared" si="6"/>
        <v>0.00012948249668943255</v>
      </c>
      <c r="O61" s="61">
        <f t="shared" si="6"/>
        <v>4.936292287127328E-05</v>
      </c>
      <c r="P61" s="61">
        <f t="shared" si="6"/>
        <v>1.767696832793872E-05</v>
      </c>
      <c r="Q61" s="61">
        <f t="shared" si="6"/>
        <v>0</v>
      </c>
      <c r="R61" s="49" t="s">
        <v>348</v>
      </c>
      <c r="S61" s="253"/>
    </row>
    <row r="62" spans="11:19" ht="15.75">
      <c r="K62" s="33"/>
      <c r="L62" s="181" t="s">
        <v>299</v>
      </c>
      <c r="M62" s="61">
        <f t="shared" si="6"/>
        <v>0.0039631019109364184</v>
      </c>
      <c r="N62" s="61">
        <f t="shared" si="6"/>
        <v>0.0002224859450094325</v>
      </c>
      <c r="O62" s="61">
        <f t="shared" si="6"/>
        <v>0.0001144879865512733</v>
      </c>
      <c r="P62" s="61">
        <f t="shared" si="6"/>
        <v>2.541969493193872E-05</v>
      </c>
      <c r="Q62" s="61">
        <f t="shared" si="6"/>
        <v>0</v>
      </c>
      <c r="R62" s="49" t="s">
        <v>348</v>
      </c>
      <c r="S62" s="253"/>
    </row>
    <row r="63" spans="11:19" ht="15.75">
      <c r="K63" s="33"/>
      <c r="L63" s="181" t="s">
        <v>300</v>
      </c>
      <c r="M63" s="61">
        <f t="shared" si="6"/>
        <v>0.005839041020746266</v>
      </c>
      <c r="N63" s="61">
        <f t="shared" si="6"/>
        <v>0.0005634985888494324</v>
      </c>
      <c r="O63" s="61">
        <f t="shared" si="6"/>
        <v>0.0003532798867112732</v>
      </c>
      <c r="P63" s="61">
        <f t="shared" si="6"/>
        <v>5.3809692479938706E-05</v>
      </c>
      <c r="Q63" s="61">
        <f t="shared" si="6"/>
        <v>0</v>
      </c>
      <c r="R63" s="49" t="s">
        <v>348</v>
      </c>
      <c r="S63" s="253"/>
    </row>
    <row r="64" spans="11:19" ht="15.75">
      <c r="K64" s="33"/>
      <c r="L64" s="255"/>
      <c r="M64" s="61"/>
      <c r="N64" s="61"/>
      <c r="O64" s="61"/>
      <c r="P64" s="61"/>
      <c r="Q64" s="61"/>
      <c r="R64" s="49"/>
      <c r="S64" s="253"/>
    </row>
    <row r="65" spans="11:19" ht="15.75">
      <c r="K65" s="33"/>
      <c r="L65" s="33"/>
      <c r="M65" s="33"/>
      <c r="N65" s="33"/>
      <c r="O65" s="33"/>
      <c r="P65" s="33"/>
      <c r="Q65" s="33"/>
      <c r="R65" s="33"/>
      <c r="S65" s="253"/>
    </row>
    <row r="66" spans="11:19" ht="15.75">
      <c r="K66" s="34" t="s">
        <v>200</v>
      </c>
      <c r="L66" s="46"/>
      <c r="M66" s="34" t="s">
        <v>379</v>
      </c>
      <c r="N66" s="46"/>
      <c r="O66" s="46"/>
      <c r="P66" s="46"/>
      <c r="Q66" s="49"/>
      <c r="R66" s="33"/>
      <c r="S66" s="253" t="s">
        <v>352</v>
      </c>
    </row>
    <row r="67" spans="11:19" ht="15.75">
      <c r="K67" s="33"/>
      <c r="L67" s="33"/>
      <c r="M67" s="33" t="s">
        <v>202</v>
      </c>
      <c r="N67" s="62"/>
      <c r="O67" s="62"/>
      <c r="P67" s="62"/>
      <c r="Q67" s="62"/>
      <c r="R67" s="33"/>
      <c r="S67" s="253" t="s">
        <v>441</v>
      </c>
    </row>
    <row r="68" spans="11:19" ht="15.75">
      <c r="K68" s="33"/>
      <c r="L68" s="33"/>
      <c r="M68" s="33" t="s">
        <v>380</v>
      </c>
      <c r="N68" s="33"/>
      <c r="O68" s="33"/>
      <c r="P68" s="33"/>
      <c r="Q68" s="33"/>
      <c r="R68" s="33"/>
      <c r="S68" s="253"/>
    </row>
    <row r="69" spans="11:19" ht="15.75">
      <c r="K69" s="33"/>
      <c r="L69" s="33"/>
      <c r="M69" s="33"/>
      <c r="N69" s="33"/>
      <c r="O69" s="33"/>
      <c r="P69" s="33"/>
      <c r="Q69" s="33"/>
      <c r="R69" s="33"/>
      <c r="S69" s="166"/>
    </row>
    <row r="70" spans="11:19" ht="15.75">
      <c r="K70" s="63" t="s">
        <v>61</v>
      </c>
      <c r="L70" s="33"/>
      <c r="M70" s="34" t="s">
        <v>382</v>
      </c>
      <c r="N70" s="33"/>
      <c r="O70" s="33"/>
      <c r="P70" s="33"/>
      <c r="Q70" s="33"/>
      <c r="R70" s="63" t="s">
        <v>203</v>
      </c>
      <c r="S70" s="253"/>
    </row>
    <row r="71" spans="11:19" ht="15.75">
      <c r="K71" s="46" t="s">
        <v>62</v>
      </c>
      <c r="L71" s="181" t="s">
        <v>297</v>
      </c>
      <c r="M71" s="256">
        <f>M60*'Data summary'!$C$6%*$R$71*$C$50</f>
        <v>1.253001324404617E-06</v>
      </c>
      <c r="N71" s="256">
        <f>N60*'Data summary'!$C$7%*$R$71*$C$50</f>
        <v>0</v>
      </c>
      <c r="O71" s="256">
        <f>O60*'Data summary'!$C$7%*$R$71*$C$50</f>
        <v>0</v>
      </c>
      <c r="P71" s="256">
        <f>P60*'Data summary'!$C$7%*$R$71*$C$50</f>
        <v>0</v>
      </c>
      <c r="Q71" s="256">
        <f>Q60*'Data summary'!$C$7%*$R$71*$C$50</f>
        <v>0</v>
      </c>
      <c r="R71" s="46">
        <v>0.001</v>
      </c>
      <c r="S71" s="253"/>
    </row>
    <row r="72" spans="11:19" ht="15.75">
      <c r="K72" s="33"/>
      <c r="L72" s="181" t="s">
        <v>298</v>
      </c>
      <c r="M72" s="256">
        <f>M61*'Data summary'!$C$6%*$R$71*$C$50</f>
        <v>2.1006494539123555E-07</v>
      </c>
      <c r="N72" s="256">
        <f>N61*'Data summary'!$C$7%*$R$71*$C$50</f>
        <v>0</v>
      </c>
      <c r="O72" s="256">
        <f>O61*'Data summary'!$C$7%*$R$71*$C$50</f>
        <v>0</v>
      </c>
      <c r="P72" s="256">
        <f>P61*'Data summary'!$C$7%*$R$71*$C$50</f>
        <v>0</v>
      </c>
      <c r="Q72" s="256">
        <f>Q61*'Data summary'!$C$7%*$R$71*$C$50</f>
        <v>0</v>
      </c>
      <c r="R72" s="33"/>
      <c r="S72" s="253"/>
    </row>
    <row r="73" spans="11:19" ht="15.75">
      <c r="K73" s="33"/>
      <c r="L73" s="181" t="s">
        <v>299</v>
      </c>
      <c r="M73" s="256">
        <f>M62*'Data summary'!$C$6%*$R$71*$C$50</f>
        <v>3.7366389445971947E-07</v>
      </c>
      <c r="N73" s="256">
        <f>N62*'Data summary'!$C$7%*$R$71*$C$50</f>
        <v>0</v>
      </c>
      <c r="O73" s="256">
        <f>O62*'Data summary'!$C$7%*$R$71*$C$50</f>
        <v>0</v>
      </c>
      <c r="P73" s="256">
        <f>P62*'Data summary'!$C$7%*$R$71*$C$50</f>
        <v>0</v>
      </c>
      <c r="Q73" s="256">
        <f>Q62*'Data summary'!$C$7%*$R$71*$C$50</f>
        <v>0</v>
      </c>
      <c r="R73" s="33"/>
      <c r="S73" s="253"/>
    </row>
    <row r="74" spans="11:19" ht="15.75">
      <c r="K74" s="33"/>
      <c r="L74" s="181" t="s">
        <v>300</v>
      </c>
      <c r="M74" s="256">
        <f>M63*'Data summary'!$C$6%*$R$71*$C$50</f>
        <v>5.505381533846479E-07</v>
      </c>
      <c r="N74" s="256">
        <f>N63*'Data summary'!$C$7%*$R$71*$C$50</f>
        <v>0</v>
      </c>
      <c r="O74" s="256">
        <f>O63*'Data summary'!$C$7%*$R$71*$C$50</f>
        <v>0</v>
      </c>
      <c r="P74" s="256">
        <f>P63*'Data summary'!$C$7%*$R$71*$C$50</f>
        <v>0</v>
      </c>
      <c r="Q74" s="256">
        <f>Q63*'Data summary'!$C$7%*$R$71*$C$50</f>
        <v>0</v>
      </c>
      <c r="R74" s="33"/>
      <c r="S74" s="253"/>
    </row>
    <row r="75" spans="11:19" ht="15.75">
      <c r="K75" s="33"/>
      <c r="L75" s="33"/>
      <c r="M75" s="33"/>
      <c r="N75" s="33"/>
      <c r="O75" s="33"/>
      <c r="P75" s="33"/>
      <c r="Q75" s="33"/>
      <c r="R75" s="33"/>
      <c r="S75" s="253"/>
    </row>
    <row r="76" spans="11:19" ht="15.75">
      <c r="K76" s="46" t="s">
        <v>63</v>
      </c>
      <c r="L76" s="181" t="s">
        <v>297</v>
      </c>
      <c r="M76" s="256">
        <f>M60*'Data summary'!$D$6%*$R$76*$C$50</f>
        <v>1.0441677703371809E-07</v>
      </c>
      <c r="N76" s="256">
        <f>N60*'Data summary'!$D$7%*$R$76*$C$50</f>
        <v>0</v>
      </c>
      <c r="O76" s="256">
        <f>O60*'Data summary'!$D$7%*$R$76*$C$50</f>
        <v>0</v>
      </c>
      <c r="P76" s="256">
        <f>P60*'Data summary'!$D$7%*$R$76*$C$50</f>
        <v>0</v>
      </c>
      <c r="Q76" s="256">
        <f>Q60*'Data summary'!$D$7%*$R$76*$C$50</f>
        <v>0</v>
      </c>
      <c r="R76" s="46">
        <v>0.001</v>
      </c>
      <c r="S76" s="253"/>
    </row>
    <row r="77" spans="11:19" ht="15.75">
      <c r="K77" s="33"/>
      <c r="L77" s="181" t="s">
        <v>298</v>
      </c>
      <c r="M77" s="256">
        <f>M61*'Data summary'!$D$6%*$R$76*$C$50</f>
        <v>1.75054121159363E-08</v>
      </c>
      <c r="N77" s="256">
        <f>N61*'Data summary'!$D$7%*$R$76*$C$50</f>
        <v>0</v>
      </c>
      <c r="O77" s="256">
        <f>O61*'Data summary'!$D$7%*$R$76*$C$50</f>
        <v>0</v>
      </c>
      <c r="P77" s="256">
        <f>P61*'Data summary'!$D$7%*$R$76*$C$50</f>
        <v>0</v>
      </c>
      <c r="Q77" s="256">
        <f>Q61*'Data summary'!$D$7%*$R$76*$C$50</f>
        <v>0</v>
      </c>
      <c r="R77" s="33"/>
      <c r="S77" s="253"/>
    </row>
    <row r="78" spans="11:19" ht="15.75">
      <c r="K78" s="33"/>
      <c r="L78" s="181" t="s">
        <v>299</v>
      </c>
      <c r="M78" s="256">
        <f>M62*'Data summary'!$D$6%*$R$76*$C$50</f>
        <v>3.113865787164329E-08</v>
      </c>
      <c r="N78" s="256">
        <f>N62*'Data summary'!$D$7%*$R$76*$C$50</f>
        <v>0</v>
      </c>
      <c r="O78" s="256">
        <f>O62*'Data summary'!$D$7%*$R$76*$C$50</f>
        <v>0</v>
      </c>
      <c r="P78" s="256">
        <f>P62*'Data summary'!$D$7%*$R$76*$C$50</f>
        <v>0</v>
      </c>
      <c r="Q78" s="256">
        <f>Q62*'Data summary'!$D$7%*$R$76*$C$50</f>
        <v>0</v>
      </c>
      <c r="R78" s="33"/>
      <c r="S78" s="253"/>
    </row>
    <row r="79" spans="11:19" ht="15.75">
      <c r="K79" s="33"/>
      <c r="L79" s="181" t="s">
        <v>300</v>
      </c>
      <c r="M79" s="256">
        <f>M63*'Data summary'!$D$6%*$R$76*$C$50</f>
        <v>4.587817944872067E-08</v>
      </c>
      <c r="N79" s="256">
        <f>N63*'Data summary'!$D$7%*$R$76*$C$50</f>
        <v>0</v>
      </c>
      <c r="O79" s="256">
        <f>O63*'Data summary'!$D$7%*$R$76*$C$50</f>
        <v>0</v>
      </c>
      <c r="P79" s="256">
        <f>P63*'Data summary'!$D$7%*$R$76*$C$50</f>
        <v>0</v>
      </c>
      <c r="Q79" s="256">
        <f>Q63*'Data summary'!$D$7%*$R$76*$C$50</f>
        <v>0</v>
      </c>
      <c r="R79" s="33"/>
      <c r="S79" s="253"/>
    </row>
    <row r="80" spans="11:19" ht="15.75">
      <c r="K80" s="33"/>
      <c r="L80" s="33"/>
      <c r="M80" s="33"/>
      <c r="N80" s="33"/>
      <c r="O80" s="33"/>
      <c r="P80" s="33"/>
      <c r="Q80" s="33"/>
      <c r="R80" s="33"/>
      <c r="S80" s="253"/>
    </row>
    <row r="81" spans="11:19" ht="15.75">
      <c r="K81" s="46" t="s">
        <v>64</v>
      </c>
      <c r="L81" s="181" t="s">
        <v>297</v>
      </c>
      <c r="M81" s="256">
        <f>M60*'Data summary'!$E$6%*$R$81*$C$50</f>
        <v>0</v>
      </c>
      <c r="N81" s="256">
        <f>N60*'Data summary'!$E$7%*$R$81*$C$50</f>
        <v>0</v>
      </c>
      <c r="O81" s="256">
        <f>O60*'Data summary'!$E$7%*$R$81*$C$50</f>
        <v>0</v>
      </c>
      <c r="P81" s="256">
        <f>P60*'Data summary'!$E$7%*$R$81*$C$50</f>
        <v>0</v>
      </c>
      <c r="Q81" s="256">
        <f>Q60*'Data summary'!$E$7%*$R$81*$C$50</f>
        <v>0</v>
      </c>
      <c r="R81" s="46">
        <v>0</v>
      </c>
      <c r="S81" s="253"/>
    </row>
    <row r="82" spans="11:19" ht="15.75">
      <c r="K82" s="33"/>
      <c r="L82" s="181" t="s">
        <v>298</v>
      </c>
      <c r="M82" s="256">
        <f>M61*'Data summary'!$E$6%*$R$81*$C$50</f>
        <v>0</v>
      </c>
      <c r="N82" s="256">
        <f>N61*'Data summary'!$E$7%*$R$81*$C$50</f>
        <v>0</v>
      </c>
      <c r="O82" s="256">
        <f>O61*'Data summary'!$E$7%*$R$81*$C$50</f>
        <v>0</v>
      </c>
      <c r="P82" s="256">
        <f>P61*'Data summary'!$E$7%*$R$81*$C$50</f>
        <v>0</v>
      </c>
      <c r="Q82" s="256">
        <f>Q61*'Data summary'!$E$7%*$R$81*$C$50</f>
        <v>0</v>
      </c>
      <c r="R82" s="257"/>
      <c r="S82" s="253"/>
    </row>
    <row r="83" spans="11:19" ht="15.75">
      <c r="K83" s="33"/>
      <c r="L83" s="181" t="s">
        <v>299</v>
      </c>
      <c r="M83" s="256">
        <f>M62*'Data summary'!$E$6%*$R$81*$C$50</f>
        <v>0</v>
      </c>
      <c r="N83" s="256">
        <f>N62*'Data summary'!$E$7%*$R$81*$C$50</f>
        <v>0</v>
      </c>
      <c r="O83" s="256">
        <f>O62*'Data summary'!$E$7%*$R$81*$C$50</f>
        <v>0</v>
      </c>
      <c r="P83" s="256">
        <f>P62*'Data summary'!$E$7%*$R$81*$C$50</f>
        <v>0</v>
      </c>
      <c r="Q83" s="256">
        <f>Q62*'Data summary'!$E$7%*$R$81*$C$50</f>
        <v>0</v>
      </c>
      <c r="R83" s="33"/>
      <c r="S83" s="253"/>
    </row>
    <row r="84" spans="11:19" ht="15.75">
      <c r="K84" s="33"/>
      <c r="L84" s="181" t="s">
        <v>300</v>
      </c>
      <c r="M84" s="256">
        <f>M63*'Data summary'!$E$6%*$R$81*$C$50</f>
        <v>0</v>
      </c>
      <c r="N84" s="256">
        <f>N63*'Data summary'!$E$7%*$R$81*$C$50</f>
        <v>0</v>
      </c>
      <c r="O84" s="256">
        <f>O63*'Data summary'!$E$7%*$R$81*$C$50</f>
        <v>0</v>
      </c>
      <c r="P84" s="256">
        <f>P63*'Data summary'!$E$7%*$R$81*$C$50</f>
        <v>0</v>
      </c>
      <c r="Q84" s="256">
        <f>Q63*'Data summary'!$E$7%*$R$81*$C$50</f>
        <v>0</v>
      </c>
      <c r="R84" s="33"/>
      <c r="S84" s="253"/>
    </row>
    <row r="85" spans="11:19" ht="15.75">
      <c r="K85" s="33"/>
      <c r="L85" s="181"/>
      <c r="M85" s="256"/>
      <c r="N85" s="256"/>
      <c r="O85" s="256"/>
      <c r="P85" s="256"/>
      <c r="Q85" s="256"/>
      <c r="R85" s="33"/>
      <c r="S85" s="253"/>
    </row>
    <row r="86" spans="11:19" ht="15.75">
      <c r="K86" s="46" t="s">
        <v>65</v>
      </c>
      <c r="L86" s="181" t="s">
        <v>297</v>
      </c>
      <c r="M86" s="256">
        <f>M60*('Data summary'!$F$6%+'Data summary'!$G$6%)*$R$86*$C$50</f>
        <v>0</v>
      </c>
      <c r="N86" s="256">
        <f>N60*('Data summary'!$F$7%+'Data summary'!$G$7%)*$R$86*$C$50</f>
        <v>0</v>
      </c>
      <c r="O86" s="256">
        <f>O60*('Data summary'!$F$7%+'Data summary'!$G$7%)*$R$86*$C$50</f>
        <v>0</v>
      </c>
      <c r="P86" s="256">
        <f>P60*('Data summary'!$F$7%+'Data summary'!$G$7%)*$R$86*$C$50</f>
        <v>0</v>
      </c>
      <c r="Q86" s="256">
        <f>Q60*('Data summary'!$F$7%+'Data summary'!$G$7%)*$R$86*$C$50</f>
        <v>0</v>
      </c>
      <c r="R86" s="181">
        <v>0.02</v>
      </c>
      <c r="S86" s="253"/>
    </row>
    <row r="87" spans="11:19" ht="15.75">
      <c r="K87" s="33"/>
      <c r="L87" s="181" t="s">
        <v>298</v>
      </c>
      <c r="M87" s="256">
        <f>M61*('Data summary'!$F$6%+'Data summary'!$G$6%)*$R$86*$C$50</f>
        <v>0</v>
      </c>
      <c r="N87" s="256">
        <f>N61*('Data summary'!$F$7%+'Data summary'!$G$7%)*$R$86*$C$50</f>
        <v>0</v>
      </c>
      <c r="O87" s="256">
        <f>O61*('Data summary'!$F$7%+'Data summary'!$G$7%)*$R$86*$C$50</f>
        <v>0</v>
      </c>
      <c r="P87" s="256">
        <f>P61*('Data summary'!$F$7%+'Data summary'!$G$7%)*$R$86*$C$50</f>
        <v>0</v>
      </c>
      <c r="Q87" s="256">
        <f>Q61*('Data summary'!$F$7%+'Data summary'!$G$7%)*$R$86*$C$50</f>
        <v>0</v>
      </c>
      <c r="R87" s="33"/>
      <c r="S87" s="253"/>
    </row>
    <row r="88" spans="11:19" ht="15.75">
      <c r="K88" s="33"/>
      <c r="L88" s="181" t="s">
        <v>299</v>
      </c>
      <c r="M88" s="256">
        <f>M62*('Data summary'!$F$6%+'Data summary'!$G$6%)*$R$86*$C$50</f>
        <v>0</v>
      </c>
      <c r="N88" s="256">
        <f>N62*('Data summary'!$F$7%+'Data summary'!$G$7%)*$R$86*$C$50</f>
        <v>0</v>
      </c>
      <c r="O88" s="256">
        <f>O62*('Data summary'!$F$7%+'Data summary'!$G$7%)*$R$86*$C$50</f>
        <v>0</v>
      </c>
      <c r="P88" s="256">
        <f>P62*('Data summary'!$F$7%+'Data summary'!$G$7%)*$R$86*$C$50</f>
        <v>0</v>
      </c>
      <c r="Q88" s="256">
        <f>Q62*('Data summary'!$F$7%+'Data summary'!$G$7%)*$R$86*$C$50</f>
        <v>0</v>
      </c>
      <c r="R88" s="33"/>
      <c r="S88" s="253"/>
    </row>
    <row r="89" spans="11:19" ht="15.75">
      <c r="K89" s="33"/>
      <c r="L89" s="181" t="s">
        <v>300</v>
      </c>
      <c r="M89" s="256">
        <f>M63*('Data summary'!$F$6%+'Data summary'!$G$6%)*$R$86*$C$50</f>
        <v>0</v>
      </c>
      <c r="N89" s="256">
        <f>N63*('Data summary'!$F$7%+'Data summary'!$G$7%)*$R$86*$C$50</f>
        <v>0</v>
      </c>
      <c r="O89" s="256">
        <f>O63*('Data summary'!$F$7%+'Data summary'!$G$7%)*$R$86*$C$50</f>
        <v>0</v>
      </c>
      <c r="P89" s="256">
        <f>P63*('Data summary'!$F$7%+'Data summary'!$G$7%)*$R$86*$C$50</f>
        <v>0</v>
      </c>
      <c r="Q89" s="256">
        <f>Q63*('Data summary'!$F$7%+'Data summary'!$G$7%)*$R$86*$C$50</f>
        <v>0</v>
      </c>
      <c r="R89" s="33"/>
      <c r="S89" s="253"/>
    </row>
    <row r="90" spans="11:19" ht="15.75">
      <c r="K90" s="33"/>
      <c r="L90" s="181"/>
      <c r="M90" s="256"/>
      <c r="N90" s="256"/>
      <c r="O90" s="256"/>
      <c r="P90" s="256"/>
      <c r="Q90" s="256"/>
      <c r="R90" s="33"/>
      <c r="S90" s="253"/>
    </row>
    <row r="91" spans="11:19" ht="15.75">
      <c r="K91" s="46" t="s">
        <v>141</v>
      </c>
      <c r="L91" s="181" t="s">
        <v>297</v>
      </c>
      <c r="M91" s="256">
        <f>M60*'Data summary'!$H$6%*$R$91*$C$50</f>
        <v>0</v>
      </c>
      <c r="N91" s="256">
        <f>N60*'Data summary'!$H$7%*$R$91*$C$50</f>
        <v>0</v>
      </c>
      <c r="O91" s="256">
        <f>O60*'Data summary'!$H$7%*$R$91*$C$50</f>
        <v>0</v>
      </c>
      <c r="P91" s="256">
        <f>P60*'Data summary'!$H$7%*$R$91*$C$50</f>
        <v>0</v>
      </c>
      <c r="Q91" s="256">
        <f>Q60*'Data summary'!$H$7%*$R$91*$C$50</f>
        <v>0</v>
      </c>
      <c r="R91" s="181">
        <v>0.001</v>
      </c>
      <c r="S91" s="253"/>
    </row>
    <row r="92" spans="11:19" ht="15.75">
      <c r="K92" s="33"/>
      <c r="L92" s="181" t="s">
        <v>298</v>
      </c>
      <c r="M92" s="256">
        <f>M61*'Data summary'!$H$6%*$R$91*$C$50</f>
        <v>0</v>
      </c>
      <c r="N92" s="256">
        <f>N61*'Data summary'!$H$7%*$R$91*$C$50</f>
        <v>0</v>
      </c>
      <c r="O92" s="256">
        <f>O61*'Data summary'!$H$7%*$R$91*$C$50</f>
        <v>0</v>
      </c>
      <c r="P92" s="256">
        <f>P61*'Data summary'!$H$7%*$R$91*$C$50</f>
        <v>0</v>
      </c>
      <c r="Q92" s="256">
        <f>Q61*'Data summary'!$H$7%*$R$91*$C$50</f>
        <v>0</v>
      </c>
      <c r="R92" s="257"/>
      <c r="S92" s="253"/>
    </row>
    <row r="93" spans="11:19" ht="15.75">
      <c r="K93" s="33"/>
      <c r="L93" s="181" t="s">
        <v>299</v>
      </c>
      <c r="M93" s="256">
        <f>M62*'Data summary'!$H$6%*$R$91*$C$50</f>
        <v>0</v>
      </c>
      <c r="N93" s="256">
        <f>N62*'Data summary'!$H$7%*$R$91*$C$50</f>
        <v>0</v>
      </c>
      <c r="O93" s="256">
        <f>O62*'Data summary'!$H$7%*$R$91*$C$50</f>
        <v>0</v>
      </c>
      <c r="P93" s="256">
        <f>P62*'Data summary'!$H$7%*$R$91*$C$50</f>
        <v>0</v>
      </c>
      <c r="Q93" s="256">
        <f>Q62*'Data summary'!$H$7%*$R$91*$C$50</f>
        <v>0</v>
      </c>
      <c r="R93" s="33"/>
      <c r="S93" s="253"/>
    </row>
    <row r="94" spans="11:19" ht="15.75">
      <c r="K94" s="33"/>
      <c r="L94" s="181" t="s">
        <v>300</v>
      </c>
      <c r="M94" s="256">
        <f>M63*'Data summary'!$H$6%*$R$91*$C$50</f>
        <v>0</v>
      </c>
      <c r="N94" s="256">
        <f>N63*'Data summary'!$H$7%*$R$91*$C$50</f>
        <v>0</v>
      </c>
      <c r="O94" s="256">
        <f>O63*'Data summary'!$H$7%*$R$91*$C$50</f>
        <v>0</v>
      </c>
      <c r="P94" s="256">
        <f>P63*'Data summary'!$H$7%*$R$91*$C$50</f>
        <v>0</v>
      </c>
      <c r="Q94" s="256">
        <f>Q63*'Data summary'!$H$7%*$R$91*$C$50</f>
        <v>0</v>
      </c>
      <c r="R94" s="33"/>
      <c r="S94" s="253"/>
    </row>
    <row r="95" spans="11:19" ht="15.75">
      <c r="K95" s="33"/>
      <c r="L95" s="181"/>
      <c r="M95" s="256"/>
      <c r="N95" s="256"/>
      <c r="O95" s="256"/>
      <c r="P95" s="256"/>
      <c r="Q95" s="256"/>
      <c r="R95" s="33"/>
      <c r="S95" s="253"/>
    </row>
    <row r="96" spans="11:19" ht="15.75">
      <c r="K96" s="46" t="s">
        <v>142</v>
      </c>
      <c r="L96" s="181" t="s">
        <v>297</v>
      </c>
      <c r="M96" s="256">
        <f>M60*'Data summary'!$I$6%*$R$96*$C$50</f>
        <v>0</v>
      </c>
      <c r="N96" s="256">
        <f>N60*'Data summary'!$I$7%*$R$96*$C$50</f>
        <v>0</v>
      </c>
      <c r="O96" s="256">
        <f>O60*'Data summary'!$I$7%*$R$96*$C$50</f>
        <v>0</v>
      </c>
      <c r="P96" s="256">
        <f>P60*'Data summary'!$I$7%*$R$96*$C$50</f>
        <v>0</v>
      </c>
      <c r="Q96" s="256">
        <f>Q60*'Data summary'!$I$7%*$R$96*$C$50</f>
        <v>0</v>
      </c>
      <c r="R96" s="46">
        <v>0</v>
      </c>
      <c r="S96" s="253"/>
    </row>
    <row r="97" spans="11:19" ht="15.75">
      <c r="K97" s="33"/>
      <c r="L97" s="181" t="s">
        <v>298</v>
      </c>
      <c r="M97" s="256">
        <f>M61*'Data summary'!$I$6%*$R$96*$C$50</f>
        <v>0</v>
      </c>
      <c r="N97" s="256">
        <f>N61*'Data summary'!$I$7%*$R$96*$C$50</f>
        <v>0</v>
      </c>
      <c r="O97" s="256">
        <f>O61*'Data summary'!$I$7%*$R$96*$C$50</f>
        <v>0</v>
      </c>
      <c r="P97" s="256">
        <f>P61*'Data summary'!$I$7%*$R$96*$C$50</f>
        <v>0</v>
      </c>
      <c r="Q97" s="256">
        <f>Q61*'Data summary'!$I$7%*$R$96*$C$50</f>
        <v>0</v>
      </c>
      <c r="R97" s="257"/>
      <c r="S97" s="253"/>
    </row>
    <row r="98" spans="11:19" ht="15.75">
      <c r="K98" s="33"/>
      <c r="L98" s="181" t="s">
        <v>299</v>
      </c>
      <c r="M98" s="256">
        <f>M62*'Data summary'!$I$6%*$R$96*$C$50</f>
        <v>0</v>
      </c>
      <c r="N98" s="256">
        <f>N62*'Data summary'!$I$7%*$R$96*$C$50</f>
        <v>0</v>
      </c>
      <c r="O98" s="256">
        <f>O62*'Data summary'!$I$7%*$R$96*$C$50</f>
        <v>0</v>
      </c>
      <c r="P98" s="256">
        <f>P62*'Data summary'!$I$7%*$R$96*$C$50</f>
        <v>0</v>
      </c>
      <c r="Q98" s="256">
        <f>Q62*'Data summary'!$I$7%*$R$96*$C$50</f>
        <v>0</v>
      </c>
      <c r="R98" s="33"/>
      <c r="S98" s="253"/>
    </row>
    <row r="99" spans="11:19" ht="15.75">
      <c r="K99" s="33"/>
      <c r="L99" s="181" t="s">
        <v>300</v>
      </c>
      <c r="M99" s="256">
        <f>M63*'Data summary'!$I$6%*$R$96*$C$50</f>
        <v>0</v>
      </c>
      <c r="N99" s="256">
        <f>N63*'Data summary'!$I$7%*$R$96*$C$50</f>
        <v>0</v>
      </c>
      <c r="O99" s="256">
        <f>O63*'Data summary'!$I$7%*$R$96*$C$50</f>
        <v>0</v>
      </c>
      <c r="P99" s="256">
        <f>P63*'Data summary'!$I$7%*$R$96*$C$50</f>
        <v>0</v>
      </c>
      <c r="Q99" s="256">
        <f>Q63*'Data summary'!$I$7%*$R$96*$C$50</f>
        <v>0</v>
      </c>
      <c r="R99" s="33"/>
      <c r="S99" s="253"/>
    </row>
    <row r="100" spans="11:19" ht="15.75">
      <c r="K100" s="33"/>
      <c r="L100" s="33"/>
      <c r="M100" s="256"/>
      <c r="N100" s="256"/>
      <c r="O100" s="256"/>
      <c r="P100" s="256"/>
      <c r="Q100" s="256"/>
      <c r="R100" s="33"/>
      <c r="S100" s="253"/>
    </row>
    <row r="101" spans="11:19" ht="15.75">
      <c r="K101" s="34" t="s">
        <v>381</v>
      </c>
      <c r="L101" s="181" t="s">
        <v>297</v>
      </c>
      <c r="M101" s="256">
        <f aca="true" t="shared" si="7" ref="M101:Q104">SUM(M71,M76,M81,M86,M91,M96)</f>
        <v>1.3574181014383351E-06</v>
      </c>
      <c r="N101" s="256">
        <f t="shared" si="7"/>
        <v>0</v>
      </c>
      <c r="O101" s="256">
        <f t="shared" si="7"/>
        <v>0</v>
      </c>
      <c r="P101" s="256">
        <f t="shared" si="7"/>
        <v>0</v>
      </c>
      <c r="Q101" s="256">
        <f t="shared" si="7"/>
        <v>0</v>
      </c>
      <c r="R101" s="33" t="s">
        <v>396</v>
      </c>
      <c r="S101" s="253"/>
    </row>
    <row r="102" spans="11:19" ht="15.75">
      <c r="K102" s="33"/>
      <c r="L102" s="181" t="s">
        <v>298</v>
      </c>
      <c r="M102" s="256">
        <f t="shared" si="7"/>
        <v>2.2757035750717185E-07</v>
      </c>
      <c r="N102" s="256">
        <f t="shared" si="7"/>
        <v>0</v>
      </c>
      <c r="O102" s="256">
        <f t="shared" si="7"/>
        <v>0</v>
      </c>
      <c r="P102" s="256">
        <f t="shared" si="7"/>
        <v>0</v>
      </c>
      <c r="Q102" s="256">
        <f t="shared" si="7"/>
        <v>0</v>
      </c>
      <c r="R102" s="33" t="s">
        <v>396</v>
      </c>
      <c r="S102" s="253"/>
    </row>
    <row r="103" spans="11:19" ht="15.75">
      <c r="K103" s="33"/>
      <c r="L103" s="181" t="s">
        <v>299</v>
      </c>
      <c r="M103" s="256">
        <f t="shared" si="7"/>
        <v>4.0480255233136275E-07</v>
      </c>
      <c r="N103" s="256">
        <f t="shared" si="7"/>
        <v>0</v>
      </c>
      <c r="O103" s="256">
        <f t="shared" si="7"/>
        <v>0</v>
      </c>
      <c r="P103" s="256">
        <f t="shared" si="7"/>
        <v>0</v>
      </c>
      <c r="Q103" s="256">
        <f t="shared" si="7"/>
        <v>0</v>
      </c>
      <c r="R103" s="33" t="s">
        <v>396</v>
      </c>
      <c r="S103" s="253"/>
    </row>
    <row r="104" spans="11:19" ht="15.75">
      <c r="K104" s="33"/>
      <c r="L104" s="181" t="s">
        <v>300</v>
      </c>
      <c r="M104" s="256">
        <f t="shared" si="7"/>
        <v>5.964163328333686E-07</v>
      </c>
      <c r="N104" s="256">
        <f t="shared" si="7"/>
        <v>0</v>
      </c>
      <c r="O104" s="256">
        <f t="shared" si="7"/>
        <v>0</v>
      </c>
      <c r="P104" s="256">
        <f t="shared" si="7"/>
        <v>0</v>
      </c>
      <c r="Q104" s="256">
        <f t="shared" si="7"/>
        <v>0</v>
      </c>
      <c r="R104" s="33" t="s">
        <v>396</v>
      </c>
      <c r="S104" s="253"/>
    </row>
    <row r="105" spans="11:19" ht="15.75">
      <c r="K105" s="33"/>
      <c r="L105" s="33"/>
      <c r="M105" s="33"/>
      <c r="N105" s="33"/>
      <c r="O105" s="33"/>
      <c r="P105" s="33"/>
      <c r="Q105" s="33"/>
      <c r="R105" s="33"/>
      <c r="S105" s="253"/>
    </row>
    <row r="106" spans="11:19" ht="15.75">
      <c r="K106" s="33" t="s">
        <v>411</v>
      </c>
      <c r="L106" s="181" t="s">
        <v>297</v>
      </c>
      <c r="M106" s="256">
        <f aca="true" t="shared" si="8" ref="M106:Q109">SUM(M71,M76,M81,M86,M91)</f>
        <v>1.3574181014383351E-06</v>
      </c>
      <c r="N106" s="256">
        <f t="shared" si="8"/>
        <v>0</v>
      </c>
      <c r="O106" s="256">
        <f t="shared" si="8"/>
        <v>0</v>
      </c>
      <c r="P106" s="256">
        <f t="shared" si="8"/>
        <v>0</v>
      </c>
      <c r="Q106" s="256">
        <f t="shared" si="8"/>
        <v>0</v>
      </c>
      <c r="R106" s="33" t="s">
        <v>396</v>
      </c>
      <c r="S106" s="253"/>
    </row>
    <row r="107" spans="11:19" ht="15.75">
      <c r="K107" s="33"/>
      <c r="L107" s="181" t="s">
        <v>298</v>
      </c>
      <c r="M107" s="256">
        <f t="shared" si="8"/>
        <v>2.2757035750717185E-07</v>
      </c>
      <c r="N107" s="256">
        <f t="shared" si="8"/>
        <v>0</v>
      </c>
      <c r="O107" s="256">
        <f t="shared" si="8"/>
        <v>0</v>
      </c>
      <c r="P107" s="256">
        <f t="shared" si="8"/>
        <v>0</v>
      </c>
      <c r="Q107" s="256">
        <f t="shared" si="8"/>
        <v>0</v>
      </c>
      <c r="R107" s="33" t="s">
        <v>396</v>
      </c>
      <c r="S107" s="253"/>
    </row>
    <row r="108" spans="11:19" ht="15.75">
      <c r="K108" s="33"/>
      <c r="L108" s="181" t="s">
        <v>299</v>
      </c>
      <c r="M108" s="256">
        <f t="shared" si="8"/>
        <v>4.0480255233136275E-07</v>
      </c>
      <c r="N108" s="256">
        <f t="shared" si="8"/>
        <v>0</v>
      </c>
      <c r="O108" s="256">
        <f t="shared" si="8"/>
        <v>0</v>
      </c>
      <c r="P108" s="256">
        <f t="shared" si="8"/>
        <v>0</v>
      </c>
      <c r="Q108" s="256">
        <f t="shared" si="8"/>
        <v>0</v>
      </c>
      <c r="R108" s="33" t="s">
        <v>396</v>
      </c>
      <c r="S108" s="253"/>
    </row>
    <row r="109" spans="11:19" ht="15.75">
      <c r="K109" s="33"/>
      <c r="L109" s="181" t="s">
        <v>300</v>
      </c>
      <c r="M109" s="256">
        <f t="shared" si="8"/>
        <v>5.964163328333686E-07</v>
      </c>
      <c r="N109" s="256">
        <f t="shared" si="8"/>
        <v>0</v>
      </c>
      <c r="O109" s="256">
        <f t="shared" si="8"/>
        <v>0</v>
      </c>
      <c r="P109" s="256">
        <f t="shared" si="8"/>
        <v>0</v>
      </c>
      <c r="Q109" s="256">
        <f t="shared" si="8"/>
        <v>0</v>
      </c>
      <c r="R109" s="33" t="s">
        <v>396</v>
      </c>
      <c r="S109" s="253"/>
    </row>
    <row r="110" spans="11:19" ht="15.75">
      <c r="K110" s="33"/>
      <c r="L110" s="181"/>
      <c r="M110" s="33"/>
      <c r="N110" s="33"/>
      <c r="O110" s="33"/>
      <c r="P110" s="33"/>
      <c r="Q110" s="33"/>
      <c r="R110" s="33"/>
      <c r="S110" s="253"/>
    </row>
    <row r="111" spans="11:19" ht="15.75">
      <c r="K111" s="34" t="s">
        <v>337</v>
      </c>
      <c r="L111" s="47">
        <f>SUM(M101:Q104)</f>
        <v>2.5862073441102382E-06</v>
      </c>
      <c r="M111" s="33"/>
      <c r="N111" s="33"/>
      <c r="O111" s="33"/>
      <c r="P111" s="33"/>
      <c r="Q111" s="33"/>
      <c r="R111" s="62" t="s">
        <v>370</v>
      </c>
      <c r="S111" s="253"/>
    </row>
    <row r="112" spans="11:19" ht="15.75">
      <c r="K112" s="34" t="s">
        <v>337</v>
      </c>
      <c r="L112" s="47">
        <f>L111*310</f>
        <v>0.0008017242766741739</v>
      </c>
      <c r="M112" s="33"/>
      <c r="N112" s="33"/>
      <c r="O112" s="33"/>
      <c r="P112" s="33"/>
      <c r="Q112" s="33"/>
      <c r="R112" s="33" t="s">
        <v>179</v>
      </c>
      <c r="S112" s="253"/>
    </row>
    <row r="113" spans="11:19" ht="15.75">
      <c r="K113" s="247" t="s">
        <v>337</v>
      </c>
      <c r="L113" s="338">
        <f>L112*10^3</f>
        <v>0.8017242766741739</v>
      </c>
      <c r="M113" s="336"/>
      <c r="N113" s="336"/>
      <c r="O113" s="336"/>
      <c r="P113" s="336"/>
      <c r="Q113" s="336"/>
      <c r="R113" s="336" t="s">
        <v>313</v>
      </c>
      <c r="S113" s="339"/>
    </row>
    <row r="117" spans="11:17" ht="15.75">
      <c r="K117" s="13"/>
      <c r="M117" s="182"/>
      <c r="N117" s="182"/>
      <c r="O117" s="182"/>
      <c r="P117" s="182"/>
      <c r="Q117" s="182"/>
    </row>
    <row r="118" ht="15.75">
      <c r="L118" s="182"/>
    </row>
  </sheetData>
  <sheetProtection sheet="1"/>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U254"/>
  <sheetViews>
    <sheetView showGridLines="0" zoomScale="80" zoomScaleNormal="80" zoomScalePageLayoutView="0" workbookViewId="0" topLeftCell="A1">
      <selection activeCell="D5" sqref="D5"/>
    </sheetView>
  </sheetViews>
  <sheetFormatPr defaultColWidth="9.140625" defaultRowHeight="12.75"/>
  <cols>
    <col min="1" max="1" width="2.7109375" style="12" customWidth="1"/>
    <col min="2" max="2" width="49.00390625" style="12" customWidth="1"/>
    <col min="3" max="3" width="17.57421875" style="12" customWidth="1"/>
    <col min="4" max="4" width="14.421875" style="12" customWidth="1"/>
    <col min="5" max="5" width="14.57421875" style="12" customWidth="1"/>
    <col min="6" max="6" width="15.7109375" style="12" customWidth="1"/>
    <col min="7" max="8" width="18.57421875" style="12" customWidth="1"/>
    <col min="9" max="9" width="18.8515625" style="12" customWidth="1"/>
    <col min="10" max="10" width="22.421875" style="12" customWidth="1"/>
    <col min="11" max="11" width="23.8515625" style="196" customWidth="1"/>
    <col min="12" max="12" width="35.28125" style="12" customWidth="1"/>
    <col min="13" max="13" width="17.8515625" style="12" customWidth="1"/>
    <col min="14" max="14" width="12.28125" style="12" customWidth="1"/>
    <col min="15" max="15" width="17.28125" style="12" customWidth="1"/>
    <col min="16" max="16" width="16.7109375" style="12" customWidth="1"/>
    <col min="17" max="17" width="17.00390625" style="12" customWidth="1"/>
    <col min="18" max="18" width="15.00390625" style="12" customWidth="1"/>
    <col min="19" max="19" width="14.140625" style="12" customWidth="1"/>
    <col min="20" max="20" width="17.00390625" style="12" customWidth="1"/>
    <col min="21" max="21" width="11.7109375" style="12" customWidth="1"/>
    <col min="22" max="22" width="9.140625" style="12" customWidth="1"/>
    <col min="23" max="23" width="12.7109375" style="12" bestFit="1" customWidth="1"/>
    <col min="24" max="24" width="9.140625" style="12" customWidth="1"/>
    <col min="25" max="25" width="15.421875" style="12" bestFit="1" customWidth="1"/>
    <col min="26" max="26" width="11.57421875" style="12" bestFit="1" customWidth="1"/>
    <col min="27" max="27" width="9.140625" style="12" customWidth="1"/>
    <col min="28" max="28" width="11.57421875" style="12" bestFit="1" customWidth="1"/>
    <col min="29" max="16384" width="9.140625" style="12" customWidth="1"/>
  </cols>
  <sheetData>
    <row r="1" spans="1:8" ht="25.5" customHeight="1">
      <c r="A1" s="28" t="s">
        <v>458</v>
      </c>
      <c r="B1" s="64"/>
      <c r="C1" s="64"/>
      <c r="G1" s="13"/>
      <c r="H1" s="13"/>
    </row>
    <row r="2" spans="1:8" ht="18.75">
      <c r="A2" s="28"/>
      <c r="B2" s="64"/>
      <c r="C2" s="64"/>
      <c r="G2" s="13"/>
      <c r="H2" s="13"/>
    </row>
    <row r="3" spans="1:10" ht="14.25" customHeight="1">
      <c r="A3" s="28"/>
      <c r="B3" s="261" t="s">
        <v>22</v>
      </c>
      <c r="C3" s="262" t="s">
        <v>304</v>
      </c>
      <c r="D3" s="263"/>
      <c r="E3" s="263"/>
      <c r="F3" s="263"/>
      <c r="G3" s="263"/>
      <c r="H3" s="263"/>
      <c r="I3" s="264" t="s">
        <v>59</v>
      </c>
      <c r="J3" s="265" t="s">
        <v>510</v>
      </c>
    </row>
    <row r="4" spans="1:10" ht="14.25" customHeight="1">
      <c r="A4" s="28"/>
      <c r="B4" s="65"/>
      <c r="C4" s="67"/>
      <c r="D4" s="67"/>
      <c r="E4" s="66"/>
      <c r="F4" s="75"/>
      <c r="G4" s="66"/>
      <c r="H4" s="66"/>
      <c r="I4" s="67"/>
      <c r="J4" s="213"/>
    </row>
    <row r="5" spans="2:10" ht="15.75">
      <c r="B5" s="80" t="s">
        <v>137</v>
      </c>
      <c r="C5" s="83" t="s">
        <v>297</v>
      </c>
      <c r="D5" s="68">
        <f>'Data input'!D41*'Data input'!$C$53</f>
        <v>500</v>
      </c>
      <c r="E5" s="68"/>
      <c r="F5" s="68"/>
      <c r="G5" s="68"/>
      <c r="H5" s="68"/>
      <c r="I5" s="67" t="s">
        <v>355</v>
      </c>
      <c r="J5" s="104"/>
    </row>
    <row r="6" spans="2:10" ht="15.75">
      <c r="B6" s="67"/>
      <c r="C6" s="83" t="s">
        <v>298</v>
      </c>
      <c r="D6" s="68">
        <f>'Data input'!D42*'Data input'!$C$53</f>
        <v>0</v>
      </c>
      <c r="E6" s="68"/>
      <c r="F6" s="68"/>
      <c r="G6" s="68"/>
      <c r="H6" s="68"/>
      <c r="I6" s="67" t="s">
        <v>355</v>
      </c>
      <c r="J6" s="213"/>
    </row>
    <row r="7" spans="2:10" ht="15.75">
      <c r="B7" s="68"/>
      <c r="C7" s="83" t="s">
        <v>299</v>
      </c>
      <c r="D7" s="68">
        <f>'Data input'!D43*'Data input'!$C$53</f>
        <v>0</v>
      </c>
      <c r="E7" s="68"/>
      <c r="F7" s="68"/>
      <c r="G7" s="68"/>
      <c r="H7" s="68"/>
      <c r="I7" s="67" t="s">
        <v>355</v>
      </c>
      <c r="J7" s="213"/>
    </row>
    <row r="8" spans="2:10" ht="15.75">
      <c r="B8" s="68"/>
      <c r="C8" s="83" t="s">
        <v>300</v>
      </c>
      <c r="D8" s="68">
        <f>'Data input'!D44*'Data input'!$C$53</f>
        <v>0</v>
      </c>
      <c r="E8" s="68"/>
      <c r="F8" s="68"/>
      <c r="G8" s="68"/>
      <c r="H8" s="68"/>
      <c r="I8" s="67" t="s">
        <v>355</v>
      </c>
      <c r="J8" s="213"/>
    </row>
    <row r="9" spans="2:10" ht="15.75">
      <c r="B9" s="67"/>
      <c r="C9" s="67"/>
      <c r="D9" s="68"/>
      <c r="E9" s="68"/>
      <c r="F9" s="68"/>
      <c r="G9" s="68"/>
      <c r="H9" s="68"/>
      <c r="I9" s="67"/>
      <c r="J9" s="213"/>
    </row>
    <row r="10" spans="2:10" ht="15.75">
      <c r="B10" s="80" t="s">
        <v>138</v>
      </c>
      <c r="C10" s="83" t="s">
        <v>297</v>
      </c>
      <c r="D10" s="68">
        <f>'Data input'!D47*'Data input'!$C$54</f>
        <v>6500</v>
      </c>
      <c r="E10" s="68"/>
      <c r="F10" s="68"/>
      <c r="G10" s="68"/>
      <c r="H10" s="68"/>
      <c r="I10" s="67" t="s">
        <v>355</v>
      </c>
      <c r="J10" s="213"/>
    </row>
    <row r="11" spans="2:10" ht="15.75">
      <c r="B11" s="68"/>
      <c r="C11" s="83" t="s">
        <v>298</v>
      </c>
      <c r="D11" s="68">
        <f>'Data input'!D48*'Data input'!$C$54</f>
        <v>0</v>
      </c>
      <c r="E11" s="68"/>
      <c r="F11" s="68"/>
      <c r="G11" s="68"/>
      <c r="H11" s="68"/>
      <c r="I11" s="67" t="s">
        <v>355</v>
      </c>
      <c r="J11" s="213"/>
    </row>
    <row r="12" spans="2:10" ht="15.75">
      <c r="B12" s="68"/>
      <c r="C12" s="83" t="s">
        <v>299</v>
      </c>
      <c r="D12" s="68">
        <f>'Data input'!D49*'Data input'!$C$54</f>
        <v>6500</v>
      </c>
      <c r="E12" s="68"/>
      <c r="F12" s="68"/>
      <c r="G12" s="68"/>
      <c r="H12" s="68"/>
      <c r="I12" s="67" t="s">
        <v>355</v>
      </c>
      <c r="J12" s="213"/>
    </row>
    <row r="13" spans="2:10" ht="15.75">
      <c r="B13" s="68"/>
      <c r="C13" s="83" t="s">
        <v>300</v>
      </c>
      <c r="D13" s="68">
        <f>'Data input'!D50*'Data input'!$C$54</f>
        <v>6500</v>
      </c>
      <c r="E13" s="68"/>
      <c r="F13" s="68"/>
      <c r="G13" s="68"/>
      <c r="H13" s="68"/>
      <c r="I13" s="67" t="s">
        <v>355</v>
      </c>
      <c r="J13" s="213"/>
    </row>
    <row r="14" spans="2:10" ht="15.75">
      <c r="B14" s="68"/>
      <c r="C14" s="67"/>
      <c r="D14" s="68"/>
      <c r="E14" s="68"/>
      <c r="F14" s="68"/>
      <c r="G14" s="68"/>
      <c r="H14" s="68"/>
      <c r="I14" s="67"/>
      <c r="J14" s="213"/>
    </row>
    <row r="15" spans="2:10" ht="15.75">
      <c r="B15" s="75" t="s">
        <v>201</v>
      </c>
      <c r="C15" s="73">
        <f>44/28</f>
        <v>1.5714285714285714</v>
      </c>
      <c r="D15" s="67"/>
      <c r="E15" s="67"/>
      <c r="F15" s="67"/>
      <c r="G15" s="67"/>
      <c r="H15" s="67"/>
      <c r="I15" s="67"/>
      <c r="J15" s="213"/>
    </row>
    <row r="16" spans="2:10" ht="15.75">
      <c r="B16" s="67"/>
      <c r="C16" s="67"/>
      <c r="D16" s="67"/>
      <c r="E16" s="67"/>
      <c r="F16" s="75"/>
      <c r="G16" s="67"/>
      <c r="H16" s="67"/>
      <c r="I16" s="67"/>
      <c r="J16" s="213"/>
    </row>
    <row r="17" spans="2:10" ht="15.75">
      <c r="B17" s="75" t="s">
        <v>261</v>
      </c>
      <c r="C17" s="67"/>
      <c r="D17" s="67"/>
      <c r="E17" s="67"/>
      <c r="F17" s="67"/>
      <c r="G17" s="67"/>
      <c r="H17" s="67"/>
      <c r="I17" s="67"/>
      <c r="J17" s="213"/>
    </row>
    <row r="18" spans="2:10" ht="15.75">
      <c r="B18" s="75" t="s">
        <v>204</v>
      </c>
      <c r="C18" s="75" t="s">
        <v>205</v>
      </c>
      <c r="D18" s="67"/>
      <c r="E18" s="67"/>
      <c r="F18" s="67"/>
      <c r="G18" s="67"/>
      <c r="H18" s="67"/>
      <c r="I18" s="67"/>
      <c r="J18" s="213" t="s">
        <v>356</v>
      </c>
    </row>
    <row r="19" spans="2:10" ht="15.75">
      <c r="B19" s="67"/>
      <c r="C19" s="67" t="s">
        <v>207</v>
      </c>
      <c r="D19" s="67"/>
      <c r="E19" s="67"/>
      <c r="F19" s="67"/>
      <c r="G19" s="67"/>
      <c r="H19" s="67"/>
      <c r="I19" s="67" t="s">
        <v>206</v>
      </c>
      <c r="J19" s="213"/>
    </row>
    <row r="20" spans="2:10" ht="15.75">
      <c r="B20" s="67"/>
      <c r="C20" s="67" t="s">
        <v>208</v>
      </c>
      <c r="D20" s="67"/>
      <c r="E20" s="67"/>
      <c r="F20" s="67"/>
      <c r="G20" s="67"/>
      <c r="H20" s="67"/>
      <c r="I20" s="67"/>
      <c r="J20" s="213" t="s">
        <v>357</v>
      </c>
    </row>
    <row r="21" spans="2:10" ht="15.75">
      <c r="B21" s="67"/>
      <c r="C21" s="67"/>
      <c r="D21" s="67"/>
      <c r="E21" s="67"/>
      <c r="F21" s="67"/>
      <c r="G21" s="67"/>
      <c r="H21" s="67"/>
      <c r="I21" s="67"/>
      <c r="J21" s="213"/>
    </row>
    <row r="22" spans="2:10" ht="15.75">
      <c r="B22" s="68" t="s">
        <v>137</v>
      </c>
      <c r="C22" s="83" t="s">
        <v>297</v>
      </c>
      <c r="D22" s="70">
        <f>D5*1*10^-6</f>
        <v>0.0005</v>
      </c>
      <c r="E22" s="67"/>
      <c r="F22" s="67"/>
      <c r="G22" s="67"/>
      <c r="H22" s="67"/>
      <c r="I22" s="67" t="s">
        <v>358</v>
      </c>
      <c r="J22" s="213"/>
    </row>
    <row r="23" spans="2:11" ht="15.75">
      <c r="B23" s="67"/>
      <c r="C23" s="83" t="s">
        <v>298</v>
      </c>
      <c r="D23" s="70">
        <f>D6*1*10^-6</f>
        <v>0</v>
      </c>
      <c r="E23" s="67"/>
      <c r="F23" s="67"/>
      <c r="G23" s="67"/>
      <c r="H23" s="67"/>
      <c r="I23" s="67" t="s">
        <v>358</v>
      </c>
      <c r="J23" s="213"/>
      <c r="K23" s="12"/>
    </row>
    <row r="24" spans="2:11" ht="15.75">
      <c r="B24" s="67"/>
      <c r="C24" s="83" t="s">
        <v>299</v>
      </c>
      <c r="D24" s="70">
        <f>D7*1*10^-6</f>
        <v>0</v>
      </c>
      <c r="E24" s="67"/>
      <c r="F24" s="67"/>
      <c r="G24" s="67"/>
      <c r="H24" s="67"/>
      <c r="I24" s="67" t="s">
        <v>358</v>
      </c>
      <c r="J24" s="213"/>
      <c r="K24" s="12"/>
    </row>
    <row r="25" spans="2:11" ht="15.75">
      <c r="B25" s="67"/>
      <c r="C25" s="83" t="s">
        <v>300</v>
      </c>
      <c r="D25" s="70">
        <f>D8*1*10^-6</f>
        <v>0</v>
      </c>
      <c r="E25" s="67"/>
      <c r="F25" s="67"/>
      <c r="G25" s="67"/>
      <c r="H25" s="67"/>
      <c r="I25" s="67" t="s">
        <v>358</v>
      </c>
      <c r="J25" s="213"/>
      <c r="K25" s="12"/>
    </row>
    <row r="26" spans="2:11" ht="15.75">
      <c r="B26" s="67"/>
      <c r="C26" s="83"/>
      <c r="D26" s="70"/>
      <c r="E26" s="67"/>
      <c r="F26" s="67"/>
      <c r="G26" s="67"/>
      <c r="H26" s="67"/>
      <c r="I26" s="67"/>
      <c r="J26" s="213"/>
      <c r="K26" s="12"/>
    </row>
    <row r="27" spans="2:11" ht="15.75">
      <c r="B27" s="68" t="s">
        <v>138</v>
      </c>
      <c r="C27" s="83" t="s">
        <v>297</v>
      </c>
      <c r="D27" s="70">
        <f>D10*1*10^-6</f>
        <v>0.0065</v>
      </c>
      <c r="E27" s="67"/>
      <c r="F27" s="67"/>
      <c r="G27" s="67"/>
      <c r="H27" s="67"/>
      <c r="I27" s="67" t="s">
        <v>358</v>
      </c>
      <c r="J27" s="213"/>
      <c r="K27" s="12"/>
    </row>
    <row r="28" spans="2:11" ht="15.75">
      <c r="B28" s="67"/>
      <c r="C28" s="83" t="s">
        <v>298</v>
      </c>
      <c r="D28" s="70">
        <f>D11*1*10^-6</f>
        <v>0</v>
      </c>
      <c r="E28" s="67"/>
      <c r="F28" s="67"/>
      <c r="G28" s="67"/>
      <c r="H28" s="67"/>
      <c r="I28" s="67" t="s">
        <v>358</v>
      </c>
      <c r="J28" s="213"/>
      <c r="K28" s="12"/>
    </row>
    <row r="29" spans="2:11" ht="15.75">
      <c r="B29" s="67"/>
      <c r="C29" s="83" t="s">
        <v>299</v>
      </c>
      <c r="D29" s="70">
        <f>D12*1*10^-6</f>
        <v>0.0065</v>
      </c>
      <c r="E29" s="67"/>
      <c r="F29" s="67"/>
      <c r="G29" s="67"/>
      <c r="H29" s="67"/>
      <c r="I29" s="67" t="s">
        <v>358</v>
      </c>
      <c r="J29" s="213"/>
      <c r="K29" s="12"/>
    </row>
    <row r="30" spans="2:11" ht="15.75">
      <c r="B30" s="67"/>
      <c r="C30" s="83" t="s">
        <v>300</v>
      </c>
      <c r="D30" s="70">
        <f>D13*1*10^-6</f>
        <v>0.0065</v>
      </c>
      <c r="E30" s="67"/>
      <c r="F30" s="67"/>
      <c r="G30" s="67"/>
      <c r="H30" s="67"/>
      <c r="I30" s="67" t="s">
        <v>358</v>
      </c>
      <c r="J30" s="213"/>
      <c r="K30" s="12"/>
    </row>
    <row r="31" spans="2:11" ht="15.75">
      <c r="B31" s="67"/>
      <c r="C31" s="67"/>
      <c r="D31" s="67"/>
      <c r="E31" s="67"/>
      <c r="F31" s="67"/>
      <c r="G31" s="67"/>
      <c r="H31" s="67"/>
      <c r="I31" s="67"/>
      <c r="J31" s="213"/>
      <c r="K31" s="12"/>
    </row>
    <row r="32" spans="2:11" ht="15.75">
      <c r="B32" s="75" t="s">
        <v>213</v>
      </c>
      <c r="C32" s="75" t="s">
        <v>442</v>
      </c>
      <c r="D32" s="67"/>
      <c r="E32" s="67"/>
      <c r="F32" s="67"/>
      <c r="G32" s="67"/>
      <c r="H32" s="67"/>
      <c r="I32" s="67" t="s">
        <v>231</v>
      </c>
      <c r="J32" s="213" t="s">
        <v>375</v>
      </c>
      <c r="K32" s="12"/>
    </row>
    <row r="33" spans="2:11" ht="15.75">
      <c r="B33" s="67"/>
      <c r="C33" s="67" t="s">
        <v>359</v>
      </c>
      <c r="D33" s="67"/>
      <c r="E33" s="67"/>
      <c r="F33" s="67"/>
      <c r="G33" s="67"/>
      <c r="H33" s="67"/>
      <c r="I33" s="67" t="s">
        <v>233</v>
      </c>
      <c r="J33" s="213" t="s">
        <v>360</v>
      </c>
      <c r="K33" s="12"/>
    </row>
    <row r="34" spans="2:21" ht="15.75">
      <c r="B34" s="67"/>
      <c r="C34" s="67"/>
      <c r="D34" s="67"/>
      <c r="E34" s="67"/>
      <c r="F34" s="67"/>
      <c r="G34" s="67"/>
      <c r="H34" s="67"/>
      <c r="I34" s="67"/>
      <c r="J34" s="213"/>
      <c r="K34" s="12"/>
      <c r="U34" s="14"/>
    </row>
    <row r="35" spans="2:21" ht="15.75">
      <c r="B35" s="490" t="s">
        <v>361</v>
      </c>
      <c r="C35" s="491" t="s">
        <v>362</v>
      </c>
      <c r="D35" s="67"/>
      <c r="E35" s="80" t="s">
        <v>137</v>
      </c>
      <c r="F35" s="67" t="s">
        <v>297</v>
      </c>
      <c r="G35" s="70">
        <f>D22*$C$39*$C$15</f>
        <v>2.357142857142857E-06</v>
      </c>
      <c r="H35" s="268"/>
      <c r="I35" s="67" t="s">
        <v>231</v>
      </c>
      <c r="J35" s="213"/>
      <c r="K35" s="12"/>
      <c r="U35" s="14"/>
    </row>
    <row r="36" spans="2:11" ht="15.75">
      <c r="B36" s="486" t="s">
        <v>363</v>
      </c>
      <c r="C36" s="349">
        <v>0.004</v>
      </c>
      <c r="D36" s="67"/>
      <c r="E36" s="67"/>
      <c r="F36" s="67" t="s">
        <v>298</v>
      </c>
      <c r="G36" s="70">
        <f>D23*$C$39*$C$15</f>
        <v>0</v>
      </c>
      <c r="H36" s="268"/>
      <c r="I36" s="67" t="s">
        <v>231</v>
      </c>
      <c r="J36" s="213"/>
      <c r="K36" s="12"/>
    </row>
    <row r="37" spans="2:11" ht="15.75">
      <c r="B37" s="486" t="s">
        <v>364</v>
      </c>
      <c r="C37" s="349">
        <v>0.021</v>
      </c>
      <c r="D37" s="67"/>
      <c r="E37" s="68"/>
      <c r="F37" s="67" t="s">
        <v>299</v>
      </c>
      <c r="G37" s="70">
        <f>D24*$C$39*$C$15</f>
        <v>0</v>
      </c>
      <c r="H37" s="268"/>
      <c r="I37" s="67" t="s">
        <v>231</v>
      </c>
      <c r="J37" s="213"/>
      <c r="K37" s="12"/>
    </row>
    <row r="38" spans="2:11" ht="15.75">
      <c r="B38" s="487" t="s">
        <v>365</v>
      </c>
      <c r="C38" s="488">
        <v>0.004</v>
      </c>
      <c r="D38" s="67"/>
      <c r="E38" s="68"/>
      <c r="F38" s="67" t="s">
        <v>300</v>
      </c>
      <c r="G38" s="70">
        <f>D25*$C$39*$C$15</f>
        <v>0</v>
      </c>
      <c r="H38" s="268"/>
      <c r="I38" s="67" t="s">
        <v>231</v>
      </c>
      <c r="J38" s="213"/>
      <c r="K38" s="12"/>
    </row>
    <row r="39" spans="2:11" ht="15.75">
      <c r="B39" s="487" t="s">
        <v>366</v>
      </c>
      <c r="C39" s="488">
        <v>0.003</v>
      </c>
      <c r="D39" s="67"/>
      <c r="E39" s="67"/>
      <c r="F39" s="67" t="s">
        <v>21</v>
      </c>
      <c r="G39" s="70">
        <f>SUM(G35:G38)</f>
        <v>2.357142857142857E-06</v>
      </c>
      <c r="H39" s="268"/>
      <c r="I39" s="67" t="s">
        <v>231</v>
      </c>
      <c r="J39" s="213"/>
      <c r="K39" s="12"/>
    </row>
    <row r="40" spans="2:11" ht="15.75">
      <c r="B40" s="486" t="s">
        <v>367</v>
      </c>
      <c r="C40" s="349">
        <v>0.0125</v>
      </c>
      <c r="D40" s="67"/>
      <c r="E40" s="67"/>
      <c r="F40" s="67"/>
      <c r="G40" s="70"/>
      <c r="H40" s="67"/>
      <c r="I40" s="67"/>
      <c r="J40" s="213"/>
      <c r="K40" s="12"/>
    </row>
    <row r="41" spans="2:11" ht="15.75">
      <c r="B41" s="486" t="s">
        <v>368</v>
      </c>
      <c r="C41" s="349">
        <v>0.005</v>
      </c>
      <c r="D41" s="67"/>
      <c r="E41" s="80" t="s">
        <v>138</v>
      </c>
      <c r="F41" s="67" t="s">
        <v>297</v>
      </c>
      <c r="G41" s="81">
        <f>D27*$C$38*$C$15</f>
        <v>4.0857142857142855E-05</v>
      </c>
      <c r="H41" s="270"/>
      <c r="I41" s="67" t="s">
        <v>231</v>
      </c>
      <c r="J41" s="213"/>
      <c r="K41" s="12"/>
    </row>
    <row r="42" spans="2:11" ht="15.75">
      <c r="B42" s="489" t="s">
        <v>369</v>
      </c>
      <c r="C42" s="352">
        <v>0.021</v>
      </c>
      <c r="D42" s="67"/>
      <c r="E42" s="68"/>
      <c r="F42" s="67" t="s">
        <v>298</v>
      </c>
      <c r="G42" s="81">
        <f>D28*$C$38*$C$15</f>
        <v>0</v>
      </c>
      <c r="H42" s="270"/>
      <c r="I42" s="67" t="s">
        <v>231</v>
      </c>
      <c r="J42" s="213"/>
      <c r="K42" s="12"/>
    </row>
    <row r="43" spans="2:11" ht="15.75">
      <c r="B43" s="67"/>
      <c r="C43" s="67"/>
      <c r="D43" s="67"/>
      <c r="E43" s="68"/>
      <c r="F43" s="67" t="s">
        <v>299</v>
      </c>
      <c r="G43" s="81">
        <f>D29*$C$38*$C$15</f>
        <v>4.0857142857142855E-05</v>
      </c>
      <c r="H43" s="270"/>
      <c r="I43" s="67" t="s">
        <v>231</v>
      </c>
      <c r="J43" s="213"/>
      <c r="K43" s="12"/>
    </row>
    <row r="44" spans="2:11" ht="15.75">
      <c r="B44" s="67"/>
      <c r="C44" s="67"/>
      <c r="D44" s="67"/>
      <c r="E44" s="68"/>
      <c r="F44" s="67" t="s">
        <v>300</v>
      </c>
      <c r="G44" s="81">
        <f>D30*$C$38*$C$15</f>
        <v>4.0857142857142855E-05</v>
      </c>
      <c r="H44" s="270"/>
      <c r="I44" s="67" t="s">
        <v>231</v>
      </c>
      <c r="J44" s="213"/>
      <c r="K44" s="12"/>
    </row>
    <row r="45" spans="2:11" ht="15.75">
      <c r="B45" s="67"/>
      <c r="C45" s="67"/>
      <c r="D45" s="67"/>
      <c r="E45" s="67"/>
      <c r="F45" s="67" t="s">
        <v>21</v>
      </c>
      <c r="G45" s="70">
        <f>SUM(G41:G44)</f>
        <v>0.00012257142857142857</v>
      </c>
      <c r="H45" s="267"/>
      <c r="I45" s="67" t="s">
        <v>231</v>
      </c>
      <c r="J45" s="213"/>
      <c r="K45" s="12"/>
    </row>
    <row r="46" spans="2:11" ht="15.75">
      <c r="B46" s="67"/>
      <c r="C46" s="67"/>
      <c r="D46" s="67"/>
      <c r="E46" s="67"/>
      <c r="F46" s="67"/>
      <c r="G46" s="67"/>
      <c r="H46" s="67"/>
      <c r="I46" s="67"/>
      <c r="J46" s="213"/>
      <c r="K46" s="12"/>
    </row>
    <row r="47" spans="2:11" ht="15.75">
      <c r="B47" s="75" t="s">
        <v>371</v>
      </c>
      <c r="C47" s="272">
        <f>G39+G45</f>
        <v>0.00012492857142857143</v>
      </c>
      <c r="D47" s="67"/>
      <c r="E47" s="67"/>
      <c r="F47" s="67"/>
      <c r="G47" s="67"/>
      <c r="H47" s="67"/>
      <c r="I47" s="67" t="s">
        <v>370</v>
      </c>
      <c r="J47" s="213"/>
      <c r="K47" s="12"/>
    </row>
    <row r="48" spans="2:11" ht="15.75">
      <c r="B48" s="75" t="s">
        <v>371</v>
      </c>
      <c r="C48" s="273">
        <f>C47*310</f>
        <v>0.03872785714285715</v>
      </c>
      <c r="D48" s="67"/>
      <c r="E48" s="67"/>
      <c r="F48" s="67"/>
      <c r="G48" s="67"/>
      <c r="H48" s="67"/>
      <c r="I48" s="67" t="s">
        <v>179</v>
      </c>
      <c r="J48" s="213"/>
      <c r="K48" s="12"/>
    </row>
    <row r="49" spans="2:11" ht="15.75">
      <c r="B49" s="75" t="s">
        <v>371</v>
      </c>
      <c r="C49" s="273">
        <f>C48*10^3</f>
        <v>38.72785714285715</v>
      </c>
      <c r="D49" s="67"/>
      <c r="E49" s="68"/>
      <c r="F49" s="68"/>
      <c r="G49" s="68"/>
      <c r="H49" s="68"/>
      <c r="I49" s="67" t="s">
        <v>313</v>
      </c>
      <c r="J49" s="213"/>
      <c r="K49" s="12"/>
    </row>
    <row r="50" spans="2:11" ht="15.75">
      <c r="B50" s="67"/>
      <c r="C50" s="67"/>
      <c r="D50" s="67"/>
      <c r="E50" s="68"/>
      <c r="F50" s="68"/>
      <c r="G50" s="68"/>
      <c r="H50" s="68"/>
      <c r="I50" s="68"/>
      <c r="J50" s="213"/>
      <c r="K50" s="12"/>
    </row>
    <row r="51" spans="2:11" ht="15.75">
      <c r="B51" s="75" t="s">
        <v>443</v>
      </c>
      <c r="C51" s="67"/>
      <c r="D51" s="67"/>
      <c r="E51" s="68"/>
      <c r="F51" s="68"/>
      <c r="G51" s="266"/>
      <c r="H51" s="266"/>
      <c r="I51" s="68"/>
      <c r="J51" s="213"/>
      <c r="K51" s="12"/>
    </row>
    <row r="52" spans="2:11" ht="15.75">
      <c r="B52" s="75" t="s">
        <v>262</v>
      </c>
      <c r="C52" s="75" t="s">
        <v>444</v>
      </c>
      <c r="D52" s="67"/>
      <c r="E52" s="68"/>
      <c r="F52" s="68"/>
      <c r="G52" s="68"/>
      <c r="H52" s="68"/>
      <c r="I52" s="68"/>
      <c r="J52" s="213" t="s">
        <v>376</v>
      </c>
      <c r="K52" s="12"/>
    </row>
    <row r="53" spans="2:11" ht="15.75">
      <c r="B53" s="68"/>
      <c r="C53" s="68" t="s">
        <v>372</v>
      </c>
      <c r="D53" s="68"/>
      <c r="E53" s="68"/>
      <c r="F53" s="68"/>
      <c r="G53" s="68"/>
      <c r="H53" s="68"/>
      <c r="I53" s="68"/>
      <c r="J53" s="213"/>
      <c r="K53" s="12"/>
    </row>
    <row r="54" spans="2:11" ht="15.75">
      <c r="B54" s="68"/>
      <c r="C54" s="67" t="s">
        <v>373</v>
      </c>
      <c r="D54" s="68"/>
      <c r="E54" s="68"/>
      <c r="F54" s="68"/>
      <c r="G54" s="68"/>
      <c r="H54" s="68"/>
      <c r="I54" s="68"/>
      <c r="J54" s="213"/>
      <c r="K54" s="12"/>
    </row>
    <row r="55" spans="2:11" ht="15.75">
      <c r="B55" s="67"/>
      <c r="C55" s="67" t="s">
        <v>219</v>
      </c>
      <c r="D55" s="68"/>
      <c r="E55" s="79"/>
      <c r="F55" s="67"/>
      <c r="G55" s="67"/>
      <c r="H55" s="67"/>
      <c r="I55" s="67"/>
      <c r="J55" s="213"/>
      <c r="K55" s="12"/>
    </row>
    <row r="56" spans="2:11" ht="15.75">
      <c r="B56" s="67"/>
      <c r="C56" s="68"/>
      <c r="D56" s="68"/>
      <c r="E56" s="79"/>
      <c r="F56" s="67"/>
      <c r="G56" s="67"/>
      <c r="H56" s="67"/>
      <c r="I56" s="67"/>
      <c r="J56" s="213"/>
      <c r="K56" s="12"/>
    </row>
    <row r="57" spans="2:11" ht="15" customHeight="1">
      <c r="B57" s="75" t="s">
        <v>214</v>
      </c>
      <c r="C57" s="67"/>
      <c r="D57" s="259" t="str">
        <f>'Data input'!D3</f>
        <v>Milking Cows</v>
      </c>
      <c r="E57" s="259" t="str">
        <f>'Data input'!E3</f>
        <v>Heifers &gt;1 </v>
      </c>
      <c r="F57" s="259" t="str">
        <f>'Data input'!F3</f>
        <v>Heifers &lt;1 </v>
      </c>
      <c r="G57" s="259" t="str">
        <f>'Data input'!G3</f>
        <v>Dairy Bulls&gt;1</v>
      </c>
      <c r="H57" s="259" t="str">
        <f>'Data input'!H3</f>
        <v>Dairy Bulls&lt;1</v>
      </c>
      <c r="I57" s="67"/>
      <c r="J57" s="213"/>
      <c r="K57" s="12"/>
    </row>
    <row r="58" spans="2:20" ht="15.75">
      <c r="B58" s="67"/>
      <c r="C58" s="83" t="s">
        <v>297</v>
      </c>
      <c r="D58" s="72">
        <f>'Nitrous oxide MMS'!M60*SUM('Data summary'!$C$6:$H$6)%</f>
        <v>0.001063152638888766</v>
      </c>
      <c r="E58" s="72">
        <f>'Nitrous oxide MMS'!N60*SUM('Data summary'!$C$7:$H$7)%</f>
        <v>0</v>
      </c>
      <c r="F58" s="72">
        <f>'Nitrous oxide MMS'!O60*SUM('Data summary'!$C$7:$H$7)%</f>
        <v>0</v>
      </c>
      <c r="G58" s="72">
        <f>'Nitrous oxide MMS'!P60*SUM('Data summary'!$C$7:$H$7)%</f>
        <v>0</v>
      </c>
      <c r="H58" s="72">
        <f>'Nitrous oxide MMS'!Q60*SUM('Data summary'!$C$7:$H$7)%</f>
        <v>0</v>
      </c>
      <c r="I58" s="67"/>
      <c r="J58" s="213"/>
      <c r="K58" s="14"/>
      <c r="L58" s="112"/>
      <c r="M58" s="111"/>
      <c r="N58" s="14"/>
      <c r="O58" s="14"/>
      <c r="P58" s="14"/>
      <c r="Q58" s="14"/>
      <c r="R58" s="14"/>
      <c r="S58" s="14"/>
      <c r="T58" s="14"/>
    </row>
    <row r="59" spans="2:20" ht="17.25" customHeight="1">
      <c r="B59" s="67"/>
      <c r="C59" s="83" t="s">
        <v>298</v>
      </c>
      <c r="D59" s="72">
        <f>'Nitrous oxide MMS'!M61*SUM('Data summary'!$C$6:$H$6)%</f>
        <v>0.0001782369233622605</v>
      </c>
      <c r="E59" s="72">
        <f>'Nitrous oxide MMS'!N61*SUM('Data summary'!$C$7:$H$7)%</f>
        <v>0</v>
      </c>
      <c r="F59" s="72">
        <f>'Nitrous oxide MMS'!O61*SUM('Data summary'!$C$7:$H$7)%</f>
        <v>0</v>
      </c>
      <c r="G59" s="72">
        <f>'Nitrous oxide MMS'!P61*SUM('Data summary'!$C$7:$H$7)%</f>
        <v>0</v>
      </c>
      <c r="H59" s="72">
        <f>'Nitrous oxide MMS'!Q61*SUM('Data summary'!$C$7:$H$7)%</f>
        <v>0</v>
      </c>
      <c r="I59" s="67"/>
      <c r="J59" s="213"/>
      <c r="K59" s="14"/>
      <c r="L59" s="14"/>
      <c r="M59" s="14"/>
      <c r="N59" s="204"/>
      <c r="O59" s="204"/>
      <c r="P59" s="204"/>
      <c r="Q59" s="204"/>
      <c r="R59" s="204"/>
      <c r="S59" s="204"/>
      <c r="T59" s="280"/>
    </row>
    <row r="60" spans="2:20" ht="15.75">
      <c r="B60" s="67"/>
      <c r="C60" s="83" t="s">
        <v>299</v>
      </c>
      <c r="D60" s="72">
        <f>'Nitrous oxide MMS'!M62*SUM('Data summary'!$C$6:$H$6)%</f>
        <v>0.00031704815287491347</v>
      </c>
      <c r="E60" s="72">
        <f>'Nitrous oxide MMS'!N62*SUM('Data summary'!$C$7:$H$7)%</f>
        <v>0</v>
      </c>
      <c r="F60" s="72">
        <f>'Nitrous oxide MMS'!O62*SUM('Data summary'!$C$7:$H$7)%</f>
        <v>0</v>
      </c>
      <c r="G60" s="72">
        <f>'Nitrous oxide MMS'!P62*SUM('Data summary'!$C$7:$H$7)%</f>
        <v>0</v>
      </c>
      <c r="H60" s="72">
        <f>'Nitrous oxide MMS'!Q62*SUM('Data summary'!$C$7:$H$7)%</f>
        <v>0</v>
      </c>
      <c r="I60" s="67"/>
      <c r="J60" s="213"/>
      <c r="K60" s="14"/>
      <c r="L60" s="14"/>
      <c r="M60" s="279"/>
      <c r="N60" s="14"/>
      <c r="O60" s="14"/>
      <c r="P60" s="14"/>
      <c r="Q60" s="14"/>
      <c r="R60" s="14"/>
      <c r="S60" s="14"/>
      <c r="T60" s="280"/>
    </row>
    <row r="61" spans="2:20" ht="15.75">
      <c r="B61" s="67"/>
      <c r="C61" s="83" t="s">
        <v>300</v>
      </c>
      <c r="D61" s="72">
        <f>'Nitrous oxide MMS'!M63*SUM('Data summary'!$C$6:$H$6)%</f>
        <v>0.0004671232816597013</v>
      </c>
      <c r="E61" s="72">
        <f>'Nitrous oxide MMS'!N63*SUM('Data summary'!$C$7:$H$7)%</f>
        <v>0</v>
      </c>
      <c r="F61" s="72">
        <f>'Nitrous oxide MMS'!O63*SUM('Data summary'!$C$7:$H$7)%</f>
        <v>0</v>
      </c>
      <c r="G61" s="72">
        <f>'Nitrous oxide MMS'!P63*SUM('Data summary'!$C$7:$H$7)%</f>
        <v>0</v>
      </c>
      <c r="H61" s="72">
        <f>'Nitrous oxide MMS'!Q63*SUM('Data summary'!$C$7:$H$7)%</f>
        <v>0</v>
      </c>
      <c r="I61" s="67"/>
      <c r="J61" s="213"/>
      <c r="K61" s="12"/>
      <c r="L61" s="14"/>
      <c r="M61" s="279"/>
      <c r="N61" s="14"/>
      <c r="O61" s="14"/>
      <c r="P61" s="14"/>
      <c r="Q61" s="14"/>
      <c r="R61" s="14"/>
      <c r="S61" s="14"/>
      <c r="T61" s="195"/>
    </row>
    <row r="62" spans="2:20" ht="15.75">
      <c r="B62" s="67"/>
      <c r="C62" s="67"/>
      <c r="D62" s="67"/>
      <c r="E62" s="67"/>
      <c r="F62" s="67"/>
      <c r="G62" s="67"/>
      <c r="H62" s="67"/>
      <c r="I62" s="67"/>
      <c r="J62" s="213"/>
      <c r="K62" s="14"/>
      <c r="L62" s="112"/>
      <c r="M62" s="279"/>
      <c r="N62" s="14"/>
      <c r="O62" s="14"/>
      <c r="P62" s="14"/>
      <c r="Q62" s="14"/>
      <c r="R62" s="14"/>
      <c r="S62" s="14"/>
      <c r="T62" s="14"/>
    </row>
    <row r="63" spans="2:20" ht="15.75">
      <c r="B63" s="75" t="s">
        <v>215</v>
      </c>
      <c r="C63" s="83" t="s">
        <v>297</v>
      </c>
      <c r="D63" s="72">
        <f>'Nitrous oxide MMS'!M106/$C$15</f>
        <v>8.638115190971223E-07</v>
      </c>
      <c r="E63" s="72">
        <f>'Nitrous oxide MMS'!N106/$C$15</f>
        <v>0</v>
      </c>
      <c r="F63" s="72">
        <f>'Nitrous oxide MMS'!O106/$C$15</f>
        <v>0</v>
      </c>
      <c r="G63" s="72">
        <f>'Nitrous oxide MMS'!P106/$C$15</f>
        <v>0</v>
      </c>
      <c r="H63" s="72">
        <f>'Nitrous oxide MMS'!Q106/$C$15</f>
        <v>0</v>
      </c>
      <c r="I63" s="67"/>
      <c r="J63" s="213"/>
      <c r="K63" s="12"/>
      <c r="L63" s="14"/>
      <c r="M63" s="279"/>
      <c r="N63" s="14"/>
      <c r="O63" s="14"/>
      <c r="P63" s="14"/>
      <c r="Q63" s="14"/>
      <c r="R63" s="14"/>
      <c r="S63" s="14"/>
      <c r="T63" s="14"/>
    </row>
    <row r="64" spans="2:20" ht="15.75">
      <c r="B64" s="67"/>
      <c r="C64" s="83" t="s">
        <v>298</v>
      </c>
      <c r="D64" s="72">
        <f>'Nitrous oxide MMS'!M107/$C$15</f>
        <v>1.4481750023183663E-07</v>
      </c>
      <c r="E64" s="72">
        <f>'Nitrous oxide MMS'!N107/$C$15</f>
        <v>0</v>
      </c>
      <c r="F64" s="72">
        <f>'Nitrous oxide MMS'!O107/$C$15</f>
        <v>0</v>
      </c>
      <c r="G64" s="72">
        <f>'Nitrous oxide MMS'!P107/$C$15</f>
        <v>0</v>
      </c>
      <c r="H64" s="72">
        <f>'Nitrous oxide MMS'!Q107/$C$15</f>
        <v>0</v>
      </c>
      <c r="I64" s="67"/>
      <c r="J64" s="104"/>
      <c r="K64" s="12"/>
      <c r="L64" s="113"/>
      <c r="M64" s="113"/>
      <c r="N64" s="14"/>
      <c r="O64" s="14"/>
      <c r="P64" s="14"/>
      <c r="Q64" s="14"/>
      <c r="R64" s="14"/>
      <c r="S64" s="14"/>
      <c r="T64" s="14"/>
    </row>
    <row r="65" spans="2:14" ht="15.75">
      <c r="B65" s="67"/>
      <c r="C65" s="83" t="s">
        <v>299</v>
      </c>
      <c r="D65" s="72">
        <f>'Nitrous oxide MMS'!M108/$C$15</f>
        <v>2.576016242108672E-07</v>
      </c>
      <c r="E65" s="72">
        <f>'Nitrous oxide MMS'!N108/$C$15</f>
        <v>0</v>
      </c>
      <c r="F65" s="72">
        <f>'Nitrous oxide MMS'!O108/$C$15</f>
        <v>0</v>
      </c>
      <c r="G65" s="72">
        <f>'Nitrous oxide MMS'!P108/$C$15</f>
        <v>0</v>
      </c>
      <c r="H65" s="72">
        <f>'Nitrous oxide MMS'!Q108/$C$15</f>
        <v>0</v>
      </c>
      <c r="I65" s="67"/>
      <c r="J65" s="104"/>
      <c r="K65" s="12"/>
      <c r="L65" s="13"/>
      <c r="M65" s="279"/>
      <c r="N65" s="185"/>
    </row>
    <row r="66" spans="2:13" ht="15.75">
      <c r="B66" s="67"/>
      <c r="C66" s="83" t="s">
        <v>300</v>
      </c>
      <c r="D66" s="72">
        <f>'Nitrous oxide MMS'!M109/$C$15</f>
        <v>3.795376663485073E-07</v>
      </c>
      <c r="E66" s="72">
        <f>'Nitrous oxide MMS'!N109/$C$15</f>
        <v>0</v>
      </c>
      <c r="F66" s="72">
        <f>'Nitrous oxide MMS'!O109/$C$15</f>
        <v>0</v>
      </c>
      <c r="G66" s="72">
        <f>'Nitrous oxide MMS'!P109/$C$15</f>
        <v>0</v>
      </c>
      <c r="H66" s="72">
        <f>'Nitrous oxide MMS'!Q109/$C$15</f>
        <v>0</v>
      </c>
      <c r="I66" s="67"/>
      <c r="J66" s="104"/>
      <c r="K66" s="12"/>
      <c r="L66" s="13"/>
      <c r="M66" s="279"/>
    </row>
    <row r="67" spans="2:13" ht="15.75">
      <c r="B67" s="67"/>
      <c r="C67" s="67"/>
      <c r="D67" s="69"/>
      <c r="E67" s="69"/>
      <c r="F67" s="69"/>
      <c r="G67" s="69"/>
      <c r="H67" s="69"/>
      <c r="I67" s="67"/>
      <c r="J67" s="104"/>
      <c r="K67" s="12"/>
      <c r="L67" s="13"/>
      <c r="M67" s="279"/>
    </row>
    <row r="68" spans="2:13" ht="15.75">
      <c r="B68" s="75" t="s">
        <v>216</v>
      </c>
      <c r="C68" s="83" t="s">
        <v>297</v>
      </c>
      <c r="D68" s="288">
        <f>SUM(N193:S193)</f>
        <v>0.00031961026206593526</v>
      </c>
      <c r="E68" s="288">
        <f>SUM(N198:S198)</f>
        <v>0</v>
      </c>
      <c r="F68" s="288">
        <f>SUM(N203:S203)</f>
        <v>0</v>
      </c>
      <c r="G68" s="288">
        <f>SUM(N208:S208)</f>
        <v>0</v>
      </c>
      <c r="H68" s="288">
        <f>SUM(N213:S213)</f>
        <v>0</v>
      </c>
      <c r="I68" s="67"/>
      <c r="J68" s="104"/>
      <c r="K68" s="12"/>
      <c r="L68" s="13"/>
      <c r="M68" s="279"/>
    </row>
    <row r="69" spans="2:13" ht="15.75">
      <c r="B69" s="67" t="s">
        <v>393</v>
      </c>
      <c r="C69" s="83" t="s">
        <v>298</v>
      </c>
      <c r="D69" s="288">
        <f>SUM(N194:S194)</f>
        <v>5.358247508577955E-05</v>
      </c>
      <c r="E69" s="288">
        <f>SUM(N199:S199)</f>
        <v>0</v>
      </c>
      <c r="F69" s="288">
        <f>SUM(N204:S204)</f>
        <v>0</v>
      </c>
      <c r="G69" s="288">
        <f>SUM(N209:S209)</f>
        <v>0</v>
      </c>
      <c r="H69" s="288">
        <f>SUM(N214:S214)</f>
        <v>0</v>
      </c>
      <c r="I69" s="67"/>
      <c r="J69" s="104"/>
      <c r="K69" s="12"/>
      <c r="L69" s="13"/>
      <c r="M69" s="13"/>
    </row>
    <row r="70" spans="2:13" ht="15.75">
      <c r="B70" s="67"/>
      <c r="C70" s="83" t="s">
        <v>299</v>
      </c>
      <c r="D70" s="288">
        <f>SUM(N195:S195)</f>
        <v>9.531260095802085E-05</v>
      </c>
      <c r="E70" s="288">
        <f>SUM(N200:S200)</f>
        <v>0</v>
      </c>
      <c r="F70" s="288">
        <f>SUM(N205:S205)</f>
        <v>0</v>
      </c>
      <c r="G70" s="288">
        <f>SUM(N210:S210)</f>
        <v>0</v>
      </c>
      <c r="H70" s="288">
        <f>SUM(N215:S215)</f>
        <v>0</v>
      </c>
      <c r="I70" s="67"/>
      <c r="J70" s="104"/>
      <c r="K70" s="12"/>
      <c r="L70" s="13"/>
      <c r="M70" s="13"/>
    </row>
    <row r="71" spans="2:13" ht="15.75">
      <c r="B71" s="67"/>
      <c r="C71" s="83" t="s">
        <v>300</v>
      </c>
      <c r="D71" s="288">
        <f>SUM(N196:S196)</f>
        <v>0.0001404289365489477</v>
      </c>
      <c r="E71" s="288">
        <f>SUM(N201:S201)</f>
        <v>0</v>
      </c>
      <c r="F71" s="288">
        <f>SUM(N206:S206)</f>
        <v>0</v>
      </c>
      <c r="G71" s="288">
        <f>SUM(N211:S211)</f>
        <v>0</v>
      </c>
      <c r="H71" s="288">
        <f>SUM(N216:S216)</f>
        <v>0</v>
      </c>
      <c r="I71" s="67"/>
      <c r="J71" s="104"/>
      <c r="K71" s="12"/>
      <c r="L71" s="13"/>
      <c r="M71" s="13"/>
    </row>
    <row r="72" spans="2:13" ht="15.75">
      <c r="B72" s="67"/>
      <c r="C72" s="83"/>
      <c r="D72" s="289"/>
      <c r="E72" s="289"/>
      <c r="F72" s="289"/>
      <c r="G72" s="289"/>
      <c r="H72" s="289"/>
      <c r="I72" s="67"/>
      <c r="J72" s="104"/>
      <c r="K72" s="12"/>
      <c r="L72" s="13"/>
      <c r="M72" s="13"/>
    </row>
    <row r="73" spans="2:13" ht="15.75">
      <c r="B73" s="75" t="s">
        <v>394</v>
      </c>
      <c r="C73" s="83" t="s">
        <v>297</v>
      </c>
      <c r="D73" s="72">
        <f aca="true" t="shared" si="0" ref="D73:H76">D58-D63-D68</f>
        <v>0.0007426785653037336</v>
      </c>
      <c r="E73" s="72">
        <f t="shared" si="0"/>
        <v>0</v>
      </c>
      <c r="F73" s="72">
        <f t="shared" si="0"/>
        <v>0</v>
      </c>
      <c r="G73" s="72">
        <f t="shared" si="0"/>
        <v>0</v>
      </c>
      <c r="H73" s="72">
        <f t="shared" si="0"/>
        <v>0</v>
      </c>
      <c r="I73" s="67"/>
      <c r="J73" s="104"/>
      <c r="K73" s="12"/>
      <c r="L73" s="13"/>
      <c r="M73" s="13"/>
    </row>
    <row r="74" spans="2:13" ht="15.75">
      <c r="B74" s="67" t="s">
        <v>395</v>
      </c>
      <c r="C74" s="83" t="s">
        <v>298</v>
      </c>
      <c r="D74" s="72">
        <f t="shared" si="0"/>
        <v>0.00012450963077624913</v>
      </c>
      <c r="E74" s="72">
        <f t="shared" si="0"/>
        <v>0</v>
      </c>
      <c r="F74" s="72">
        <f t="shared" si="0"/>
        <v>0</v>
      </c>
      <c r="G74" s="72">
        <f t="shared" si="0"/>
        <v>0</v>
      </c>
      <c r="H74" s="72">
        <f t="shared" si="0"/>
        <v>0</v>
      </c>
      <c r="I74" s="67"/>
      <c r="J74" s="104"/>
      <c r="K74" s="12"/>
      <c r="L74" s="13"/>
      <c r="M74" s="13"/>
    </row>
    <row r="75" spans="2:13" ht="15.75">
      <c r="B75" s="67"/>
      <c r="C75" s="83" t="s">
        <v>299</v>
      </c>
      <c r="D75" s="72">
        <f t="shared" si="0"/>
        <v>0.00022147795029268174</v>
      </c>
      <c r="E75" s="72">
        <f t="shared" si="0"/>
        <v>0</v>
      </c>
      <c r="F75" s="72">
        <f t="shared" si="0"/>
        <v>0</v>
      </c>
      <c r="G75" s="72">
        <f t="shared" si="0"/>
        <v>0</v>
      </c>
      <c r="H75" s="72">
        <f t="shared" si="0"/>
        <v>0</v>
      </c>
      <c r="I75" s="67"/>
      <c r="J75" s="104"/>
      <c r="K75" s="12"/>
      <c r="L75" s="13"/>
      <c r="M75" s="13"/>
    </row>
    <row r="76" spans="2:21" ht="15.75">
      <c r="B76" s="67"/>
      <c r="C76" s="83" t="s">
        <v>300</v>
      </c>
      <c r="D76" s="72">
        <f t="shared" si="0"/>
        <v>0.00032631480744440514</v>
      </c>
      <c r="E76" s="72">
        <f t="shared" si="0"/>
        <v>0</v>
      </c>
      <c r="F76" s="72">
        <f t="shared" si="0"/>
        <v>0</v>
      </c>
      <c r="G76" s="72">
        <f t="shared" si="0"/>
        <v>0</v>
      </c>
      <c r="H76" s="72">
        <f t="shared" si="0"/>
        <v>0</v>
      </c>
      <c r="I76" s="67"/>
      <c r="J76" s="104"/>
      <c r="K76" s="14"/>
      <c r="M76" s="112"/>
      <c r="N76" s="14"/>
      <c r="O76" s="14"/>
      <c r="P76" s="14"/>
      <c r="Q76" s="14"/>
      <c r="R76" s="14"/>
      <c r="S76" s="14"/>
      <c r="T76" s="14"/>
      <c r="U76" s="14"/>
    </row>
    <row r="77" spans="2:21" ht="15.75">
      <c r="B77" s="67"/>
      <c r="C77" s="83"/>
      <c r="D77" s="70"/>
      <c r="E77" s="70"/>
      <c r="F77" s="70"/>
      <c r="G77" s="70"/>
      <c r="H77" s="70"/>
      <c r="I77" s="67"/>
      <c r="J77" s="104"/>
      <c r="K77" s="286"/>
      <c r="L77" s="112"/>
      <c r="M77" s="112"/>
      <c r="N77" s="14"/>
      <c r="O77" s="14"/>
      <c r="P77" s="14"/>
      <c r="Q77" s="14"/>
      <c r="R77" s="14"/>
      <c r="S77" s="287"/>
      <c r="T77" s="14"/>
      <c r="U77" s="14"/>
    </row>
    <row r="78" spans="2:21" ht="14.25" customHeight="1">
      <c r="B78" s="67"/>
      <c r="C78" s="83"/>
      <c r="D78" s="67"/>
      <c r="E78" s="67"/>
      <c r="F78" s="67"/>
      <c r="G78" s="67"/>
      <c r="H78" s="67"/>
      <c r="I78" s="67"/>
      <c r="J78" s="104"/>
      <c r="K78" s="286"/>
      <c r="L78" s="14"/>
      <c r="M78" s="14"/>
      <c r="N78" s="14"/>
      <c r="O78" s="271"/>
      <c r="P78" s="271"/>
      <c r="Q78" s="14"/>
      <c r="R78" s="14"/>
      <c r="S78" s="287"/>
      <c r="T78" s="14"/>
      <c r="U78" s="14"/>
    </row>
    <row r="79" spans="2:21" ht="15.75">
      <c r="B79" s="67"/>
      <c r="C79" s="67"/>
      <c r="D79" s="67"/>
      <c r="E79" s="67"/>
      <c r="F79" s="67"/>
      <c r="G79" s="67"/>
      <c r="H79" s="67"/>
      <c r="I79" s="67"/>
      <c r="J79" s="104"/>
      <c r="K79" s="14"/>
      <c r="L79" s="195"/>
      <c r="U79" s="14"/>
    </row>
    <row r="80" spans="2:21" ht="15.75">
      <c r="B80" s="75" t="s">
        <v>416</v>
      </c>
      <c r="C80" s="75" t="s">
        <v>378</v>
      </c>
      <c r="D80" s="67"/>
      <c r="E80" s="67"/>
      <c r="F80" s="67"/>
      <c r="G80" s="67"/>
      <c r="H80" s="67"/>
      <c r="I80" s="83"/>
      <c r="J80" s="213" t="s">
        <v>377</v>
      </c>
      <c r="K80" s="14"/>
      <c r="L80" s="279"/>
      <c r="U80" s="14"/>
    </row>
    <row r="81" spans="2:21" ht="15.75">
      <c r="B81" s="67"/>
      <c r="C81" s="67" t="s">
        <v>515</v>
      </c>
      <c r="D81" s="269">
        <v>0.01</v>
      </c>
      <c r="E81" s="67"/>
      <c r="F81" s="67"/>
      <c r="G81" s="67"/>
      <c r="H81" s="67"/>
      <c r="I81" s="67"/>
      <c r="J81" s="104"/>
      <c r="K81" s="14"/>
      <c r="L81" s="280"/>
      <c r="U81" s="14"/>
    </row>
    <row r="82" spans="2:21" ht="15.75">
      <c r="B82" s="67"/>
      <c r="C82" s="83" t="s">
        <v>297</v>
      </c>
      <c r="D82" s="81">
        <f aca="true" t="shared" si="1" ref="D82:H85">D73*$D$81*$C$15</f>
        <v>1.1670663169058671E-05</v>
      </c>
      <c r="E82" s="81">
        <f t="shared" si="1"/>
        <v>0</v>
      </c>
      <c r="F82" s="81">
        <f t="shared" si="1"/>
        <v>0</v>
      </c>
      <c r="G82" s="81">
        <f t="shared" si="1"/>
        <v>0</v>
      </c>
      <c r="H82" s="81">
        <f t="shared" si="1"/>
        <v>0</v>
      </c>
      <c r="I82" s="83" t="s">
        <v>396</v>
      </c>
      <c r="J82" s="104"/>
      <c r="K82" s="14"/>
      <c r="L82" s="195"/>
      <c r="U82" s="14"/>
    </row>
    <row r="83" spans="2:21" ht="15.75">
      <c r="B83" s="67"/>
      <c r="C83" s="83" t="s">
        <v>298</v>
      </c>
      <c r="D83" s="81">
        <f t="shared" si="1"/>
        <v>1.9565799121982006E-06</v>
      </c>
      <c r="E83" s="81">
        <f t="shared" si="1"/>
        <v>0</v>
      </c>
      <c r="F83" s="81">
        <f t="shared" si="1"/>
        <v>0</v>
      </c>
      <c r="G83" s="81">
        <f t="shared" si="1"/>
        <v>0</v>
      </c>
      <c r="H83" s="81">
        <f t="shared" si="1"/>
        <v>0</v>
      </c>
      <c r="I83" s="83" t="s">
        <v>396</v>
      </c>
      <c r="J83" s="104"/>
      <c r="K83" s="14"/>
      <c r="L83" s="195"/>
      <c r="U83" s="14"/>
    </row>
    <row r="84" spans="2:21" ht="15.75">
      <c r="B84" s="67"/>
      <c r="C84" s="83" t="s">
        <v>299</v>
      </c>
      <c r="D84" s="81">
        <f t="shared" si="1"/>
        <v>3.4803677903135703E-06</v>
      </c>
      <c r="E84" s="81">
        <f t="shared" si="1"/>
        <v>0</v>
      </c>
      <c r="F84" s="81">
        <f t="shared" si="1"/>
        <v>0</v>
      </c>
      <c r="G84" s="81">
        <f t="shared" si="1"/>
        <v>0</v>
      </c>
      <c r="H84" s="81">
        <f t="shared" si="1"/>
        <v>0</v>
      </c>
      <c r="I84" s="83" t="s">
        <v>396</v>
      </c>
      <c r="J84" s="104"/>
      <c r="K84" s="14"/>
      <c r="L84" s="195"/>
      <c r="U84" s="14"/>
    </row>
    <row r="85" spans="2:21" ht="15.75">
      <c r="B85" s="67"/>
      <c r="C85" s="83" t="s">
        <v>300</v>
      </c>
      <c r="D85" s="81">
        <f t="shared" si="1"/>
        <v>5.127804116983509E-06</v>
      </c>
      <c r="E85" s="81">
        <f t="shared" si="1"/>
        <v>0</v>
      </c>
      <c r="F85" s="81">
        <f t="shared" si="1"/>
        <v>0</v>
      </c>
      <c r="G85" s="81">
        <f t="shared" si="1"/>
        <v>0</v>
      </c>
      <c r="H85" s="81">
        <f t="shared" si="1"/>
        <v>0</v>
      </c>
      <c r="I85" s="83" t="s">
        <v>396</v>
      </c>
      <c r="J85" s="104"/>
      <c r="K85" s="14"/>
      <c r="L85" s="280"/>
      <c r="U85" s="14"/>
    </row>
    <row r="86" spans="2:21" ht="15.75">
      <c r="B86" s="67"/>
      <c r="C86" s="67"/>
      <c r="D86" s="67"/>
      <c r="E86" s="67"/>
      <c r="F86" s="67"/>
      <c r="G86" s="67"/>
      <c r="H86" s="67"/>
      <c r="I86" s="67"/>
      <c r="J86" s="104"/>
      <c r="K86" s="287"/>
      <c r="L86" s="14"/>
      <c r="U86" s="14"/>
    </row>
    <row r="87" spans="2:21" ht="15.75">
      <c r="B87" s="67"/>
      <c r="C87" s="67"/>
      <c r="D87" s="67"/>
      <c r="E87" s="67"/>
      <c r="F87" s="67"/>
      <c r="G87" s="67"/>
      <c r="H87" s="67"/>
      <c r="I87" s="67"/>
      <c r="J87" s="104"/>
      <c r="K87" s="287"/>
      <c r="L87" s="14"/>
      <c r="U87" s="14"/>
    </row>
    <row r="88" spans="2:21" ht="15.75">
      <c r="B88" s="67"/>
      <c r="C88" s="67"/>
      <c r="D88" s="67"/>
      <c r="E88" s="67"/>
      <c r="F88" s="67"/>
      <c r="G88" s="67"/>
      <c r="H88" s="67"/>
      <c r="I88" s="67"/>
      <c r="J88" s="104"/>
      <c r="K88" s="287"/>
      <c r="L88" s="14"/>
      <c r="M88" s="14"/>
      <c r="N88" s="14"/>
      <c r="O88" s="14"/>
      <c r="P88" s="14"/>
      <c r="Q88" s="14"/>
      <c r="R88" s="14"/>
      <c r="S88" s="14"/>
      <c r="T88" s="14"/>
      <c r="U88" s="14"/>
    </row>
    <row r="89" spans="2:21" ht="15.75">
      <c r="B89" s="75" t="s">
        <v>209</v>
      </c>
      <c r="C89" s="75" t="s">
        <v>220</v>
      </c>
      <c r="D89" s="67"/>
      <c r="E89" s="67"/>
      <c r="F89" s="67"/>
      <c r="G89" s="67"/>
      <c r="H89" s="67"/>
      <c r="I89" s="67"/>
      <c r="J89" s="213" t="s">
        <v>397</v>
      </c>
      <c r="K89" s="287"/>
      <c r="L89" s="14"/>
      <c r="M89" s="14"/>
      <c r="N89" s="14"/>
      <c r="O89" s="14"/>
      <c r="P89" s="14"/>
      <c r="Q89" s="14"/>
      <c r="R89" s="14"/>
      <c r="S89" s="14"/>
      <c r="T89" s="14"/>
      <c r="U89" s="14"/>
    </row>
    <row r="90" spans="2:10" ht="15.75">
      <c r="B90" s="67"/>
      <c r="C90" s="67" t="s">
        <v>221</v>
      </c>
      <c r="D90" s="67"/>
      <c r="E90" s="67"/>
      <c r="F90" s="67"/>
      <c r="G90" s="67"/>
      <c r="H90" s="67"/>
      <c r="I90" s="83" t="s">
        <v>206</v>
      </c>
      <c r="J90" s="292" t="s">
        <v>398</v>
      </c>
    </row>
    <row r="91" spans="2:10" ht="15.75">
      <c r="B91" s="67"/>
      <c r="C91" s="67" t="s">
        <v>222</v>
      </c>
      <c r="D91" s="67"/>
      <c r="E91" s="67"/>
      <c r="F91" s="67"/>
      <c r="G91" s="67"/>
      <c r="H91" s="67"/>
      <c r="I91" s="83" t="s">
        <v>94</v>
      </c>
      <c r="J91" s="213"/>
    </row>
    <row r="92" spans="2:10" ht="15.75">
      <c r="B92" s="67"/>
      <c r="C92" s="67" t="s">
        <v>223</v>
      </c>
      <c r="D92" s="67"/>
      <c r="E92" s="67"/>
      <c r="F92" s="67"/>
      <c r="G92" s="67"/>
      <c r="H92" s="67"/>
      <c r="I92" s="67" t="s">
        <v>224</v>
      </c>
      <c r="J92" s="213"/>
    </row>
    <row r="93" spans="2:10" ht="15.75">
      <c r="B93" s="67"/>
      <c r="C93" s="67" t="s">
        <v>225</v>
      </c>
      <c r="D93" s="67"/>
      <c r="E93" s="67"/>
      <c r="F93" s="67"/>
      <c r="G93" s="67"/>
      <c r="H93" s="67"/>
      <c r="I93" s="67" t="s">
        <v>226</v>
      </c>
      <c r="J93" s="213"/>
    </row>
    <row r="94" spans="2:11" ht="15.75">
      <c r="B94" s="67"/>
      <c r="C94" s="67" t="s">
        <v>227</v>
      </c>
      <c r="D94" s="67"/>
      <c r="E94" s="67"/>
      <c r="F94" s="67"/>
      <c r="G94" s="67"/>
      <c r="H94" s="67"/>
      <c r="I94" s="67"/>
      <c r="J94" s="213"/>
      <c r="K94" s="12"/>
    </row>
    <row r="95" spans="2:11" ht="15.75">
      <c r="B95" s="67"/>
      <c r="C95" s="67" t="s">
        <v>228</v>
      </c>
      <c r="D95" s="67"/>
      <c r="E95" s="67"/>
      <c r="F95" s="67"/>
      <c r="G95" s="67"/>
      <c r="H95" s="67"/>
      <c r="I95" s="67"/>
      <c r="J95" s="213"/>
      <c r="K95" s="12"/>
    </row>
    <row r="96" spans="2:11" ht="15.75">
      <c r="B96" s="67"/>
      <c r="C96" s="67"/>
      <c r="D96" s="67"/>
      <c r="E96" s="67"/>
      <c r="F96" s="67"/>
      <c r="G96" s="67"/>
      <c r="H96" s="67"/>
      <c r="I96" s="67"/>
      <c r="J96" s="213"/>
      <c r="K96" s="12"/>
    </row>
    <row r="97" spans="2:11" ht="15.75">
      <c r="B97" s="75" t="s">
        <v>230</v>
      </c>
      <c r="C97" s="75" t="s">
        <v>229</v>
      </c>
      <c r="D97" s="67"/>
      <c r="E97" s="67"/>
      <c r="F97" s="67"/>
      <c r="G97" s="67"/>
      <c r="H97" s="67"/>
      <c r="I97" s="67" t="s">
        <v>231</v>
      </c>
      <c r="J97" s="213" t="s">
        <v>399</v>
      </c>
      <c r="K97" s="12"/>
    </row>
    <row r="98" spans="2:11" ht="15.75">
      <c r="B98" s="67"/>
      <c r="C98" s="67" t="s">
        <v>232</v>
      </c>
      <c r="D98" s="67"/>
      <c r="E98" s="67"/>
      <c r="F98" s="67"/>
      <c r="G98" s="67"/>
      <c r="H98" s="67"/>
      <c r="I98" s="67" t="s">
        <v>233</v>
      </c>
      <c r="J98" s="292" t="s">
        <v>398</v>
      </c>
      <c r="K98" s="12"/>
    </row>
    <row r="99" spans="2:12" ht="15.75">
      <c r="B99" s="67"/>
      <c r="C99" s="67"/>
      <c r="D99" s="67"/>
      <c r="E99" s="67"/>
      <c r="F99" s="67"/>
      <c r="G99" s="67"/>
      <c r="H99" s="67"/>
      <c r="I99" s="67"/>
      <c r="J99" s="213"/>
      <c r="K99" s="12"/>
      <c r="L99" s="13"/>
    </row>
    <row r="100" spans="2:11" ht="15.75">
      <c r="B100" s="67"/>
      <c r="C100" s="67"/>
      <c r="D100" s="67"/>
      <c r="E100" s="67"/>
      <c r="F100" s="67"/>
      <c r="G100" s="67"/>
      <c r="H100" s="67"/>
      <c r="I100" s="67"/>
      <c r="J100" s="213"/>
      <c r="K100" s="12"/>
    </row>
    <row r="101" spans="2:11" ht="15.75">
      <c r="B101" s="67" t="s">
        <v>210</v>
      </c>
      <c r="C101" s="67"/>
      <c r="D101" s="67"/>
      <c r="E101" s="67"/>
      <c r="F101" s="67"/>
      <c r="G101" s="67"/>
      <c r="H101" s="67"/>
      <c r="I101" s="67"/>
      <c r="J101" s="213"/>
      <c r="K101" s="12"/>
    </row>
    <row r="102" spans="2:11" ht="15.75">
      <c r="B102" s="75" t="s">
        <v>234</v>
      </c>
      <c r="C102" s="75" t="s">
        <v>413</v>
      </c>
      <c r="D102" s="67"/>
      <c r="E102" s="67"/>
      <c r="F102" s="67"/>
      <c r="G102" s="67"/>
      <c r="H102" s="67"/>
      <c r="I102" s="67"/>
      <c r="J102" s="213" t="s">
        <v>400</v>
      </c>
      <c r="K102" s="12"/>
    </row>
    <row r="103" spans="2:11" ht="15.75">
      <c r="B103" s="67"/>
      <c r="C103" s="67" t="s">
        <v>235</v>
      </c>
      <c r="D103" s="67"/>
      <c r="E103" s="67"/>
      <c r="F103" s="67"/>
      <c r="G103" s="67"/>
      <c r="H103" s="67"/>
      <c r="I103" s="67"/>
      <c r="J103" s="292" t="s">
        <v>398</v>
      </c>
      <c r="K103" s="12"/>
    </row>
    <row r="104" spans="2:19" ht="15.75">
      <c r="B104" s="67"/>
      <c r="C104" s="67" t="s">
        <v>236</v>
      </c>
      <c r="D104" s="67"/>
      <c r="E104" s="67"/>
      <c r="F104" s="67"/>
      <c r="G104" s="67"/>
      <c r="H104" s="67"/>
      <c r="I104" s="67"/>
      <c r="J104" s="213"/>
      <c r="K104" s="12"/>
      <c r="M104" s="165"/>
      <c r="N104" s="25"/>
      <c r="O104" s="25"/>
      <c r="P104" s="25"/>
      <c r="Q104" s="25"/>
      <c r="R104" s="25"/>
      <c r="S104" s="25"/>
    </row>
    <row r="105" spans="2:11" ht="15.75">
      <c r="B105" s="67"/>
      <c r="C105" s="67" t="s">
        <v>237</v>
      </c>
      <c r="D105" s="67"/>
      <c r="E105" s="67"/>
      <c r="F105" s="67"/>
      <c r="G105" s="67"/>
      <c r="H105" s="67"/>
      <c r="I105" s="67"/>
      <c r="J105" s="213"/>
      <c r="K105" s="12"/>
    </row>
    <row r="106" spans="2:11" ht="15.75">
      <c r="B106" s="67"/>
      <c r="C106" s="67"/>
      <c r="D106" s="67"/>
      <c r="E106" s="67"/>
      <c r="F106" s="67"/>
      <c r="G106" s="67"/>
      <c r="H106" s="67"/>
      <c r="I106" s="67"/>
      <c r="J106" s="213"/>
      <c r="K106" s="12"/>
    </row>
    <row r="107" spans="2:11" ht="15.75">
      <c r="B107" s="75" t="s">
        <v>238</v>
      </c>
      <c r="C107" s="75" t="s">
        <v>229</v>
      </c>
      <c r="D107" s="67"/>
      <c r="E107" s="67"/>
      <c r="F107" s="67"/>
      <c r="G107" s="67"/>
      <c r="H107" s="67"/>
      <c r="I107" s="67" t="s">
        <v>231</v>
      </c>
      <c r="J107" s="213" t="s">
        <v>401</v>
      </c>
      <c r="K107" s="12"/>
    </row>
    <row r="108" spans="2:11" ht="15.75">
      <c r="B108" s="67"/>
      <c r="C108" s="67" t="s">
        <v>232</v>
      </c>
      <c r="D108" s="67"/>
      <c r="E108" s="67"/>
      <c r="F108" s="67"/>
      <c r="G108" s="67"/>
      <c r="H108" s="67"/>
      <c r="I108" s="67" t="s">
        <v>233</v>
      </c>
      <c r="J108" s="292" t="s">
        <v>398</v>
      </c>
      <c r="K108" s="12"/>
    </row>
    <row r="109" spans="2:11" ht="15.75">
      <c r="B109" s="67"/>
      <c r="C109" s="67"/>
      <c r="D109" s="67"/>
      <c r="E109" s="67"/>
      <c r="F109" s="67"/>
      <c r="G109" s="67"/>
      <c r="H109" s="67"/>
      <c r="I109" s="67"/>
      <c r="J109" s="213"/>
      <c r="K109" s="12"/>
    </row>
    <row r="110" spans="2:11" ht="15.75">
      <c r="B110" s="67"/>
      <c r="C110" s="67"/>
      <c r="D110" s="67"/>
      <c r="E110" s="67"/>
      <c r="F110" s="67"/>
      <c r="G110" s="67"/>
      <c r="H110" s="67"/>
      <c r="I110" s="67"/>
      <c r="J110" s="213"/>
      <c r="K110" s="12"/>
    </row>
    <row r="111" spans="2:13" ht="15.75">
      <c r="B111" s="67"/>
      <c r="C111" s="67"/>
      <c r="D111" s="67"/>
      <c r="E111" s="67"/>
      <c r="F111" s="67"/>
      <c r="G111" s="67"/>
      <c r="H111" s="67"/>
      <c r="I111" s="67"/>
      <c r="J111" s="213"/>
      <c r="K111" s="12"/>
      <c r="L111" s="13"/>
      <c r="M111" s="14"/>
    </row>
    <row r="112" spans="2:16" ht="15.75">
      <c r="B112" s="75" t="s">
        <v>239</v>
      </c>
      <c r="C112" s="75" t="s">
        <v>240</v>
      </c>
      <c r="D112" s="67"/>
      <c r="E112" s="67"/>
      <c r="F112" s="67"/>
      <c r="G112" s="67"/>
      <c r="H112" s="67"/>
      <c r="I112" s="67" t="s">
        <v>231</v>
      </c>
      <c r="J112" s="213" t="s">
        <v>402</v>
      </c>
      <c r="K112" s="12"/>
      <c r="L112" s="13"/>
      <c r="M112" s="14"/>
      <c r="O112" s="14"/>
      <c r="P112" s="14"/>
    </row>
    <row r="113" spans="2:16" ht="15.75">
      <c r="B113" s="67"/>
      <c r="C113" s="67" t="s">
        <v>241</v>
      </c>
      <c r="D113" s="67"/>
      <c r="E113" s="67"/>
      <c r="F113" s="67"/>
      <c r="G113" s="67"/>
      <c r="H113" s="67"/>
      <c r="I113" s="67" t="s">
        <v>86</v>
      </c>
      <c r="J113" s="292" t="s">
        <v>398</v>
      </c>
      <c r="K113" s="12"/>
      <c r="L113" s="13"/>
      <c r="M113" s="14"/>
      <c r="O113" s="271"/>
      <c r="P113" s="14"/>
    </row>
    <row r="114" spans="2:16" ht="15.75">
      <c r="B114" s="67"/>
      <c r="C114" s="67" t="s">
        <v>242</v>
      </c>
      <c r="D114" s="67"/>
      <c r="E114" s="67"/>
      <c r="F114" s="67"/>
      <c r="G114" s="67"/>
      <c r="H114" s="67"/>
      <c r="I114" s="67" t="s">
        <v>243</v>
      </c>
      <c r="J114" s="213"/>
      <c r="K114" s="12"/>
      <c r="L114" s="13"/>
      <c r="P114" s="14"/>
    </row>
    <row r="115" spans="2:20" ht="15.75">
      <c r="B115" s="67"/>
      <c r="C115" s="75"/>
      <c r="D115" s="67"/>
      <c r="E115" s="67"/>
      <c r="F115" s="67"/>
      <c r="G115" s="67"/>
      <c r="H115" s="67"/>
      <c r="I115" s="67"/>
      <c r="J115" s="213"/>
      <c r="K115" s="12"/>
      <c r="M115" s="165"/>
      <c r="N115" s="184"/>
      <c r="O115" s="184"/>
      <c r="P115" s="184"/>
      <c r="Q115" s="184"/>
      <c r="R115" s="184"/>
      <c r="S115" s="184"/>
      <c r="T115" s="165"/>
    </row>
    <row r="116" spans="2:20" ht="15.75">
      <c r="B116" s="67"/>
      <c r="C116" s="68"/>
      <c r="D116" s="68"/>
      <c r="E116" s="79"/>
      <c r="F116" s="83"/>
      <c r="G116" s="67"/>
      <c r="H116" s="67"/>
      <c r="I116" s="67"/>
      <c r="J116" s="213"/>
      <c r="K116" s="12"/>
      <c r="M116" s="165"/>
      <c r="N116" s="184"/>
      <c r="O116" s="184"/>
      <c r="P116" s="184"/>
      <c r="Q116" s="184"/>
      <c r="R116" s="184"/>
      <c r="S116" s="184"/>
      <c r="T116" s="165"/>
    </row>
    <row r="117" spans="2:20" ht="15.75">
      <c r="B117" s="67"/>
      <c r="C117" s="67"/>
      <c r="D117" s="67"/>
      <c r="E117" s="67"/>
      <c r="F117" s="67"/>
      <c r="G117" s="67"/>
      <c r="H117" s="67"/>
      <c r="I117" s="67"/>
      <c r="J117" s="213"/>
      <c r="K117" s="12"/>
      <c r="M117" s="165"/>
      <c r="N117" s="184"/>
      <c r="O117" s="184"/>
      <c r="P117" s="184"/>
      <c r="Q117" s="184"/>
      <c r="R117" s="184"/>
      <c r="S117" s="184"/>
      <c r="T117" s="165"/>
    </row>
    <row r="118" spans="2:20" ht="15.75">
      <c r="B118" s="67" t="s">
        <v>417</v>
      </c>
      <c r="C118" s="67"/>
      <c r="D118" s="67"/>
      <c r="E118" s="67"/>
      <c r="F118" s="67"/>
      <c r="G118" s="67"/>
      <c r="H118" s="67"/>
      <c r="I118" s="67"/>
      <c r="J118" s="213"/>
      <c r="K118" s="12"/>
      <c r="M118" s="165"/>
      <c r="N118" s="184"/>
      <c r="O118" s="184"/>
      <c r="P118" s="184"/>
      <c r="Q118" s="184"/>
      <c r="R118" s="184"/>
      <c r="S118" s="184"/>
      <c r="T118" s="165"/>
    </row>
    <row r="119" spans="2:16" ht="15.75">
      <c r="B119" s="75" t="s">
        <v>418</v>
      </c>
      <c r="C119" s="67"/>
      <c r="D119" s="67"/>
      <c r="E119" s="67"/>
      <c r="F119" s="67"/>
      <c r="G119" s="67"/>
      <c r="H119" s="67"/>
      <c r="I119" s="67"/>
      <c r="J119" s="213" t="s">
        <v>419</v>
      </c>
      <c r="K119" s="12"/>
      <c r="M119" s="165"/>
      <c r="P119" s="14"/>
    </row>
    <row r="120" spans="2:20" ht="15.75">
      <c r="B120" s="67"/>
      <c r="C120" s="75" t="s">
        <v>420</v>
      </c>
      <c r="D120" s="67"/>
      <c r="E120" s="67"/>
      <c r="F120" s="67"/>
      <c r="G120" s="67"/>
      <c r="H120" s="67"/>
      <c r="I120" s="67"/>
      <c r="J120" s="213" t="s">
        <v>421</v>
      </c>
      <c r="K120" s="12"/>
      <c r="M120" s="165"/>
      <c r="N120" s="112"/>
      <c r="O120" s="112"/>
      <c r="P120" s="112"/>
      <c r="Q120" s="112"/>
      <c r="R120" s="112"/>
      <c r="S120" s="112"/>
      <c r="T120" s="165"/>
    </row>
    <row r="121" spans="2:20" ht="15.75">
      <c r="B121" s="67"/>
      <c r="C121" s="67"/>
      <c r="D121" s="67"/>
      <c r="E121" s="67"/>
      <c r="F121" s="67"/>
      <c r="G121" s="67"/>
      <c r="H121" s="67"/>
      <c r="I121" s="67"/>
      <c r="J121" s="104"/>
      <c r="K121" s="12"/>
      <c r="M121" s="165"/>
      <c r="N121" s="112"/>
      <c r="O121" s="112"/>
      <c r="P121" s="112"/>
      <c r="Q121" s="112"/>
      <c r="R121" s="112"/>
      <c r="S121" s="112"/>
      <c r="T121" s="165"/>
    </row>
    <row r="122" spans="2:20" ht="15.75">
      <c r="B122" s="67"/>
      <c r="C122" s="83" t="s">
        <v>297</v>
      </c>
      <c r="D122" s="73">
        <f>'Nitrous oxide MMS'!M46*'Data summary'!$I$6%</f>
        <v>0.002069129877024227</v>
      </c>
      <c r="E122" s="73">
        <f>'Nitrous oxide MMS'!N46*'Data summary'!$I$6%</f>
        <v>0.00010002008579021733</v>
      </c>
      <c r="F122" s="73">
        <f>'Nitrous oxide MMS'!O46*'Data summary'!$I$6%</f>
        <v>7.003841872566565E-05</v>
      </c>
      <c r="G122" s="73">
        <f>'Nitrous oxide MMS'!P46*'Data summary'!$I$6%</f>
        <v>8.326875972573379E-06</v>
      </c>
      <c r="H122" s="73">
        <f>'Nitrous oxide MMS'!Q46*'Data summary'!$I$6%</f>
        <v>0</v>
      </c>
      <c r="I122" s="67" t="s">
        <v>348</v>
      </c>
      <c r="J122" s="213"/>
      <c r="K122" s="12"/>
      <c r="M122" s="165"/>
      <c r="N122" s="112"/>
      <c r="O122" s="112"/>
      <c r="P122" s="112"/>
      <c r="Q122" s="112"/>
      <c r="R122" s="112"/>
      <c r="S122" s="112"/>
      <c r="T122" s="165"/>
    </row>
    <row r="123" spans="2:20" ht="15.75">
      <c r="B123" s="67"/>
      <c r="C123" s="83" t="s">
        <v>298</v>
      </c>
      <c r="D123" s="73">
        <f>'Nitrous oxide MMS'!M47*'Data summary'!$I$6%</f>
        <v>0.001692184014148495</v>
      </c>
      <c r="E123" s="73">
        <f>'Nitrous oxide MMS'!N47*'Data summary'!$I$6%</f>
        <v>7.974613165403012E-05</v>
      </c>
      <c r="F123" s="73">
        <f>'Nitrous oxide MMS'!O47*'Data summary'!$I$6%</f>
        <v>5.584171335597178E-05</v>
      </c>
      <c r="G123" s="73">
        <f>'Nitrous oxide MMS'!P47*'Data summary'!$I$6%</f>
        <v>6.639027974524735E-06</v>
      </c>
      <c r="H123" s="73">
        <f>'Nitrous oxide MMS'!Q47*'Data summary'!$I$6%</f>
        <v>0</v>
      </c>
      <c r="I123" s="67" t="s">
        <v>348</v>
      </c>
      <c r="J123" s="213"/>
      <c r="K123" s="12"/>
      <c r="M123" s="165"/>
      <c r="N123" s="112"/>
      <c r="O123" s="112"/>
      <c r="P123" s="112"/>
      <c r="Q123" s="112"/>
      <c r="R123" s="112"/>
      <c r="S123" s="112"/>
      <c r="T123" s="165"/>
    </row>
    <row r="124" spans="2:16" ht="15.75">
      <c r="B124" s="67"/>
      <c r="C124" s="83" t="s">
        <v>299</v>
      </c>
      <c r="D124" s="73">
        <f>'Nitrous oxide MMS'!M48*'Data summary'!$I$6%</f>
        <v>0.0016248210768021944</v>
      </c>
      <c r="E124" s="73">
        <f>'Nitrous oxide MMS'!N48*'Data summary'!$I$6%</f>
        <v>8.865072523662851E-05</v>
      </c>
      <c r="F124" s="73">
        <f>'Nitrous oxide MMS'!O48*'Data summary'!$I$6%</f>
        <v>6.20770974689986E-05</v>
      </c>
      <c r="G124" s="73">
        <f>'Nitrous oxide MMS'!P48*'Data summary'!$I$6%</f>
        <v>7.380353536912142E-06</v>
      </c>
      <c r="H124" s="73">
        <f>'Nitrous oxide MMS'!Q48*'Data summary'!$I$6%</f>
        <v>0</v>
      </c>
      <c r="I124" s="67" t="s">
        <v>348</v>
      </c>
      <c r="J124" s="213"/>
      <c r="K124" s="12"/>
      <c r="M124" s="165"/>
      <c r="N124" s="14"/>
      <c r="O124" s="112"/>
      <c r="P124" s="165"/>
    </row>
    <row r="125" spans="2:11" ht="15.75">
      <c r="B125" s="67"/>
      <c r="C125" s="83" t="s">
        <v>300</v>
      </c>
      <c r="D125" s="73">
        <f>'Nitrous oxide MMS'!M49*'Data summary'!$I$6%</f>
        <v>0.0009312589131058505</v>
      </c>
      <c r="E125" s="73">
        <f>'Nitrous oxide MMS'!N49*'Data summary'!$I$6%</f>
        <v>9.664109343418614E-05</v>
      </c>
      <c r="F125" s="73">
        <f>'Nitrous oxide MMS'!O49*'Data summary'!$I$6%</f>
        <v>6.767230116405E-05</v>
      </c>
      <c r="G125" s="73">
        <f>'Nitrous oxide MMS'!P49*'Data summary'!$I$6%</f>
        <v>8.045567972898605E-06</v>
      </c>
      <c r="H125" s="73">
        <f>'Nitrous oxide MMS'!Q49*'Data summary'!$I$6%</f>
        <v>0</v>
      </c>
      <c r="I125" s="67" t="s">
        <v>348</v>
      </c>
      <c r="J125" s="213"/>
      <c r="K125" s="12"/>
    </row>
    <row r="126" spans="2:11" ht="15.75">
      <c r="B126" s="67"/>
      <c r="C126" s="67"/>
      <c r="D126" s="67"/>
      <c r="E126" s="67"/>
      <c r="F126" s="67"/>
      <c r="G126" s="67"/>
      <c r="H126" s="67"/>
      <c r="I126" s="67"/>
      <c r="J126" s="213"/>
      <c r="K126" s="12"/>
    </row>
    <row r="127" spans="2:20" ht="15.75">
      <c r="B127" s="67"/>
      <c r="C127" s="75" t="s">
        <v>423</v>
      </c>
      <c r="D127" s="67"/>
      <c r="E127" s="67"/>
      <c r="F127" s="67"/>
      <c r="G127" s="67"/>
      <c r="H127" s="67"/>
      <c r="I127" s="67"/>
      <c r="J127" s="213" t="s">
        <v>422</v>
      </c>
      <c r="K127" s="12"/>
      <c r="M127" s="165"/>
      <c r="N127" s="112"/>
      <c r="O127" s="112"/>
      <c r="P127" s="112"/>
      <c r="Q127" s="112"/>
      <c r="R127" s="112"/>
      <c r="S127" s="112"/>
      <c r="T127" s="165"/>
    </row>
    <row r="128" spans="2:20" ht="15.75">
      <c r="B128" s="67"/>
      <c r="C128" s="67"/>
      <c r="D128" s="67"/>
      <c r="E128" s="67"/>
      <c r="F128" s="67"/>
      <c r="G128" s="67"/>
      <c r="H128" s="67"/>
      <c r="I128" s="67"/>
      <c r="J128" s="104"/>
      <c r="K128" s="12"/>
      <c r="M128" s="165"/>
      <c r="N128" s="112"/>
      <c r="O128" s="112"/>
      <c r="P128" s="112"/>
      <c r="Q128" s="112"/>
      <c r="R128" s="112"/>
      <c r="S128" s="112"/>
      <c r="T128" s="165"/>
    </row>
    <row r="129" spans="2:20" ht="15.75">
      <c r="B129" s="67"/>
      <c r="C129" s="83" t="s">
        <v>297</v>
      </c>
      <c r="D129" s="73">
        <f>('Nitrous oxide MMS'!M53*'Data summary'!$I$6%)</f>
        <v>0.010157125470196583</v>
      </c>
      <c r="E129" s="73">
        <f>('Nitrous oxide MMS'!N53*'Data summary'!$I$6%)</f>
        <v>0.0005324828458904606</v>
      </c>
      <c r="F129" s="73">
        <f>('Nitrous oxide MMS'!O53*'Data summary'!$I$6%)</f>
        <v>0.00033486582182950576</v>
      </c>
      <c r="G129" s="73">
        <f>('Nitrous oxide MMS'!P53*'Data summary'!$I$6%)</f>
        <v>5.067578574321024E-05</v>
      </c>
      <c r="H129" s="73">
        <f>('Nitrous oxide MMS'!Q53*'Data summary'!$I$6%)</f>
        <v>0</v>
      </c>
      <c r="I129" s="67" t="s">
        <v>348</v>
      </c>
      <c r="J129" s="104"/>
      <c r="K129" s="12"/>
      <c r="M129" s="165"/>
      <c r="N129" s="112"/>
      <c r="O129" s="112"/>
      <c r="P129" s="112"/>
      <c r="Q129" s="112"/>
      <c r="R129" s="112"/>
      <c r="S129" s="112"/>
      <c r="T129" s="165"/>
    </row>
    <row r="130" spans="2:20" ht="15.75">
      <c r="B130" s="67"/>
      <c r="C130" s="83" t="s">
        <v>298</v>
      </c>
      <c r="D130" s="73">
        <f>('Nitrous oxide MMS'!M54*'Data summary'!$I$6%)</f>
        <v>0.0003575406045175006</v>
      </c>
      <c r="E130" s="73">
        <f>('Nitrous oxide MMS'!N54*'Data summary'!$I$6%)</f>
        <v>3.937776530024784E-05</v>
      </c>
      <c r="F130" s="73">
        <f>('Nitrous oxide MMS'!O54*'Data summary'!$I$6%)</f>
        <v>-1.0427824314400362E-05</v>
      </c>
      <c r="G130" s="73">
        <f>('Nitrous oxide MMS'!P54*'Data summary'!$I$6%)</f>
        <v>9.623782887178887E-06</v>
      </c>
      <c r="H130" s="73">
        <f>('Nitrous oxide MMS'!Q54*'Data summary'!$I$6%)</f>
        <v>0</v>
      </c>
      <c r="I130" s="67" t="s">
        <v>348</v>
      </c>
      <c r="J130" s="104"/>
      <c r="K130" s="12"/>
      <c r="M130" s="165"/>
      <c r="N130" s="112"/>
      <c r="O130" s="112"/>
      <c r="P130" s="112"/>
      <c r="Q130" s="112"/>
      <c r="R130" s="112"/>
      <c r="S130" s="112"/>
      <c r="T130" s="165"/>
    </row>
    <row r="131" spans="2:20" ht="15.75">
      <c r="B131" s="67"/>
      <c r="C131" s="83" t="s">
        <v>299</v>
      </c>
      <c r="D131" s="73">
        <f>('Nitrous oxide MMS'!M55*'Data summary'!$I$6%)</f>
        <v>0.0020212326812593107</v>
      </c>
      <c r="E131" s="73">
        <f>('Nitrous oxide MMS'!N55*'Data summary'!$I$6%)</f>
        <v>0.0001160363441720494</v>
      </c>
      <c r="F131" s="73">
        <f>('Nitrous oxide MMS'!O55*'Data summary'!$I$6%)</f>
        <v>4.325185015817284E-05</v>
      </c>
      <c r="G131" s="73">
        <f>('Nitrous oxide MMS'!P55*'Data summary'!$I$6%)</f>
        <v>1.600576580047148E-05</v>
      </c>
      <c r="H131" s="73">
        <f>('Nitrous oxide MMS'!Q55*'Data summary'!$I$6%)</f>
        <v>0</v>
      </c>
      <c r="I131" s="67" t="s">
        <v>348</v>
      </c>
      <c r="J131" s="104"/>
      <c r="K131" s="12"/>
      <c r="M131" s="165"/>
      <c r="N131" s="112"/>
      <c r="O131" s="112"/>
      <c r="P131" s="112"/>
      <c r="Q131" s="112"/>
      <c r="R131" s="112"/>
      <c r="S131" s="112"/>
      <c r="T131" s="165"/>
    </row>
    <row r="132" spans="2:20" ht="15.75">
      <c r="B132" s="67"/>
      <c r="C132" s="83" t="s">
        <v>300</v>
      </c>
      <c r="D132" s="73">
        <f>('Nitrous oxide MMS'!M56*'Data summary'!$I$6%)</f>
        <v>0.0044406588259807145</v>
      </c>
      <c r="E132" s="73">
        <f>('Nitrous oxide MMS'!N56*'Data summary'!$I$6%)</f>
        <v>0.0004217776083072917</v>
      </c>
      <c r="F132" s="73">
        <f>('Nitrous oxide MMS'!O56*'Data summary'!$I$6%)</f>
        <v>0.00025734519461032137</v>
      </c>
      <c r="G132" s="73">
        <f>('Nitrous oxide MMS'!P56*'Data summary'!$I$6%)</f>
        <v>4.1459349108645005E-05</v>
      </c>
      <c r="H132" s="73">
        <f>('Nitrous oxide MMS'!Q56*'Data summary'!$I$6%)</f>
        <v>0</v>
      </c>
      <c r="I132" s="67" t="s">
        <v>348</v>
      </c>
      <c r="J132" s="104"/>
      <c r="K132" s="12"/>
      <c r="M132" s="320"/>
      <c r="N132" s="112"/>
      <c r="O132" s="112"/>
      <c r="P132" s="112"/>
      <c r="Q132" s="112"/>
      <c r="R132" s="112"/>
      <c r="S132" s="112"/>
      <c r="T132" s="165"/>
    </row>
    <row r="133" spans="2:20" ht="15.75">
      <c r="B133" s="67"/>
      <c r="C133" s="67"/>
      <c r="D133" s="67"/>
      <c r="E133" s="67"/>
      <c r="F133" s="67"/>
      <c r="G133" s="67"/>
      <c r="H133" s="67"/>
      <c r="I133" s="67"/>
      <c r="J133" s="104"/>
      <c r="K133" s="12"/>
      <c r="M133" s="321"/>
      <c r="N133" s="112"/>
      <c r="O133" s="112"/>
      <c r="P133" s="112"/>
      <c r="Q133" s="112"/>
      <c r="R133" s="112"/>
      <c r="S133" s="112"/>
      <c r="T133" s="165"/>
    </row>
    <row r="134" spans="2:11" ht="15.75">
      <c r="B134" s="67"/>
      <c r="C134" s="67"/>
      <c r="D134" s="67"/>
      <c r="E134" s="67"/>
      <c r="F134" s="67"/>
      <c r="G134" s="67"/>
      <c r="H134" s="67"/>
      <c r="I134" s="67"/>
      <c r="J134" s="104"/>
      <c r="K134" s="12"/>
    </row>
    <row r="135" spans="2:11" ht="15.75">
      <c r="B135" s="67"/>
      <c r="C135" s="67"/>
      <c r="D135" s="67"/>
      <c r="E135" s="67"/>
      <c r="F135" s="67"/>
      <c r="G135" s="67"/>
      <c r="H135" s="67"/>
      <c r="I135" s="67"/>
      <c r="J135" s="104"/>
      <c r="K135" s="12"/>
    </row>
    <row r="136" spans="2:11" ht="15.75">
      <c r="B136" s="75" t="s">
        <v>445</v>
      </c>
      <c r="C136" s="75" t="s">
        <v>424</v>
      </c>
      <c r="D136" s="67"/>
      <c r="E136" s="67"/>
      <c r="F136" s="67"/>
      <c r="G136" s="67"/>
      <c r="H136" s="67"/>
      <c r="I136" s="67"/>
      <c r="J136" s="213" t="s">
        <v>426</v>
      </c>
      <c r="K136" s="12"/>
    </row>
    <row r="137" spans="2:11" ht="15.75">
      <c r="B137" s="67"/>
      <c r="C137" s="67" t="s">
        <v>516</v>
      </c>
      <c r="D137" s="266">
        <v>0.005</v>
      </c>
      <c r="E137" s="67"/>
      <c r="F137" s="67"/>
      <c r="G137" s="67"/>
      <c r="H137" s="67"/>
      <c r="I137" s="67"/>
      <c r="J137" s="104"/>
      <c r="K137" s="12"/>
    </row>
    <row r="138" spans="2:11" ht="15.75">
      <c r="B138" s="67"/>
      <c r="C138" s="67" t="s">
        <v>517</v>
      </c>
      <c r="D138" s="68">
        <v>0.004</v>
      </c>
      <c r="E138" s="67"/>
      <c r="F138" s="67"/>
      <c r="G138" s="67"/>
      <c r="H138" s="67"/>
      <c r="I138" s="67"/>
      <c r="J138" s="104"/>
      <c r="K138" s="12"/>
    </row>
    <row r="139" spans="2:11" ht="15.75">
      <c r="B139" s="67"/>
      <c r="C139" s="67"/>
      <c r="D139" s="67"/>
      <c r="E139" s="67"/>
      <c r="F139" s="67"/>
      <c r="G139" s="67"/>
      <c r="H139" s="67"/>
      <c r="I139" s="67"/>
      <c r="J139" s="104"/>
      <c r="K139" s="12"/>
    </row>
    <row r="140" spans="2:11" ht="15.75">
      <c r="B140" s="67"/>
      <c r="C140" s="83" t="s">
        <v>297</v>
      </c>
      <c r="D140" s="71">
        <f aca="true" t="shared" si="2" ref="D140:H143">(D122*$D$137*$C$15)+(D129*$D$138*$C$15)</f>
        <v>8.010223770356888E-05</v>
      </c>
      <c r="E140" s="71">
        <f t="shared" si="2"/>
        <v>4.132907133948888E-06</v>
      </c>
      <c r="F140" s="71">
        <f t="shared" si="2"/>
        <v>2.6551727414871237E-06</v>
      </c>
      <c r="G140" s="71">
        <f t="shared" si="2"/>
        <v>3.8395896445611237E-07</v>
      </c>
      <c r="H140" s="71">
        <f t="shared" si="2"/>
        <v>0</v>
      </c>
      <c r="I140" s="83" t="s">
        <v>396</v>
      </c>
      <c r="J140" s="104"/>
      <c r="K140" s="12"/>
    </row>
    <row r="141" spans="2:11" ht="15.75">
      <c r="B141" s="67"/>
      <c r="C141" s="83" t="s">
        <v>298</v>
      </c>
      <c r="D141" s="71">
        <f t="shared" si="2"/>
        <v>1.554312962527675E-05</v>
      </c>
      <c r="E141" s="71">
        <f t="shared" si="2"/>
        <v>8.740941305975087E-07</v>
      </c>
      <c r="F141" s="71">
        <f t="shared" si="2"/>
        <v>3.7320999496354743E-07</v>
      </c>
      <c r="G141" s="71">
        <f t="shared" si="2"/>
        <v>1.1265614080496163E-07</v>
      </c>
      <c r="H141" s="71">
        <f t="shared" si="2"/>
        <v>0</v>
      </c>
      <c r="I141" s="83" t="s">
        <v>396</v>
      </c>
      <c r="J141" s="104"/>
      <c r="K141" s="12"/>
    </row>
    <row r="142" spans="2:11" ht="15.75">
      <c r="B142" s="67"/>
      <c r="C142" s="83" t="s">
        <v>299</v>
      </c>
      <c r="D142" s="71">
        <f t="shared" si="2"/>
        <v>2.5471342457075766E-05</v>
      </c>
      <c r="E142" s="71">
        <f t="shared" si="2"/>
        <v>1.4259127187978203E-06</v>
      </c>
      <c r="F142" s="71">
        <f t="shared" si="2"/>
        <v>7.596173953935041E-07</v>
      </c>
      <c r="G142" s="71">
        <f t="shared" si="2"/>
        <v>1.5859616282155902E-07</v>
      </c>
      <c r="H142" s="71">
        <f t="shared" si="2"/>
        <v>0</v>
      </c>
      <c r="I142" s="83" t="s">
        <v>396</v>
      </c>
      <c r="J142" s="104"/>
      <c r="K142" s="12"/>
    </row>
    <row r="143" spans="2:11" ht="15.75">
      <c r="B143" s="67"/>
      <c r="C143" s="83" t="s">
        <v>300</v>
      </c>
      <c r="D143" s="71">
        <f t="shared" si="2"/>
        <v>3.5229746937710465E-05</v>
      </c>
      <c r="E143" s="71">
        <f t="shared" si="2"/>
        <v>3.410496414914439E-06</v>
      </c>
      <c r="F143" s="71">
        <f t="shared" si="2"/>
        <v>2.1493093038395556E-06</v>
      </c>
      <c r="G143" s="71">
        <f t="shared" si="2"/>
        <v>3.238167998985434E-07</v>
      </c>
      <c r="H143" s="71">
        <f t="shared" si="2"/>
        <v>0</v>
      </c>
      <c r="I143" s="83" t="s">
        <v>396</v>
      </c>
      <c r="J143" s="104"/>
      <c r="K143" s="12"/>
    </row>
    <row r="144" spans="2:11" ht="15.75">
      <c r="B144" s="67"/>
      <c r="C144" s="67"/>
      <c r="D144" s="67"/>
      <c r="E144" s="67"/>
      <c r="F144" s="67"/>
      <c r="G144" s="67"/>
      <c r="H144" s="67"/>
      <c r="I144" s="67"/>
      <c r="J144" s="104"/>
      <c r="K144" s="12"/>
    </row>
    <row r="145" spans="2:11" ht="15.75">
      <c r="B145" s="67"/>
      <c r="C145" s="67"/>
      <c r="D145" s="67"/>
      <c r="E145" s="67"/>
      <c r="F145" s="67"/>
      <c r="G145" s="67"/>
      <c r="H145" s="67"/>
      <c r="I145" s="67"/>
      <c r="J145" s="104"/>
      <c r="K145" s="12"/>
    </row>
    <row r="146" spans="2:11" ht="15.75">
      <c r="B146" s="75" t="s">
        <v>425</v>
      </c>
      <c r="C146" s="67"/>
      <c r="D146" s="274"/>
      <c r="E146" s="67"/>
      <c r="F146" s="67"/>
      <c r="G146" s="67"/>
      <c r="H146" s="67"/>
      <c r="I146" s="67"/>
      <c r="J146" s="104"/>
      <c r="K146" s="12"/>
    </row>
    <row r="147" spans="2:11" ht="15.75">
      <c r="B147" s="67"/>
      <c r="C147" s="83" t="s">
        <v>297</v>
      </c>
      <c r="D147" s="70">
        <f aca="true" t="shared" si="3" ref="D147:H150">D82+D140</f>
        <v>9.177290087262756E-05</v>
      </c>
      <c r="E147" s="70">
        <f t="shared" si="3"/>
        <v>4.132907133948888E-06</v>
      </c>
      <c r="F147" s="70">
        <f t="shared" si="3"/>
        <v>2.6551727414871237E-06</v>
      </c>
      <c r="G147" s="70">
        <f t="shared" si="3"/>
        <v>3.8395896445611237E-07</v>
      </c>
      <c r="H147" s="70">
        <f t="shared" si="3"/>
        <v>0</v>
      </c>
      <c r="I147" s="83" t="s">
        <v>396</v>
      </c>
      <c r="J147" s="104"/>
      <c r="K147" s="12"/>
    </row>
    <row r="148" spans="2:11" ht="15.75">
      <c r="B148" s="67"/>
      <c r="C148" s="83" t="s">
        <v>298</v>
      </c>
      <c r="D148" s="70">
        <f t="shared" si="3"/>
        <v>1.749970953747495E-05</v>
      </c>
      <c r="E148" s="70">
        <f t="shared" si="3"/>
        <v>8.740941305975087E-07</v>
      </c>
      <c r="F148" s="70">
        <f t="shared" si="3"/>
        <v>3.7320999496354743E-07</v>
      </c>
      <c r="G148" s="70">
        <f t="shared" si="3"/>
        <v>1.1265614080496163E-07</v>
      </c>
      <c r="H148" s="70">
        <f t="shared" si="3"/>
        <v>0</v>
      </c>
      <c r="I148" s="83" t="s">
        <v>396</v>
      </c>
      <c r="J148" s="104"/>
      <c r="K148" s="12"/>
    </row>
    <row r="149" spans="2:11" ht="15.75">
      <c r="B149" s="67"/>
      <c r="C149" s="83" t="s">
        <v>299</v>
      </c>
      <c r="D149" s="70">
        <f t="shared" si="3"/>
        <v>2.8951710247389335E-05</v>
      </c>
      <c r="E149" s="70">
        <f t="shared" si="3"/>
        <v>1.4259127187978203E-06</v>
      </c>
      <c r="F149" s="70">
        <f t="shared" si="3"/>
        <v>7.596173953935041E-07</v>
      </c>
      <c r="G149" s="70">
        <f t="shared" si="3"/>
        <v>1.5859616282155902E-07</v>
      </c>
      <c r="H149" s="70">
        <f t="shared" si="3"/>
        <v>0</v>
      </c>
      <c r="I149" s="83" t="s">
        <v>396</v>
      </c>
      <c r="J149" s="104"/>
      <c r="K149" s="12"/>
    </row>
    <row r="150" spans="2:11" ht="15.75">
      <c r="B150" s="67"/>
      <c r="C150" s="83" t="s">
        <v>300</v>
      </c>
      <c r="D150" s="70">
        <f t="shared" si="3"/>
        <v>4.0357551054693975E-05</v>
      </c>
      <c r="E150" s="70">
        <f t="shared" si="3"/>
        <v>3.410496414914439E-06</v>
      </c>
      <c r="F150" s="70">
        <f t="shared" si="3"/>
        <v>2.1493093038395556E-06</v>
      </c>
      <c r="G150" s="70">
        <f t="shared" si="3"/>
        <v>3.238167998985434E-07</v>
      </c>
      <c r="H150" s="70">
        <f t="shared" si="3"/>
        <v>0</v>
      </c>
      <c r="I150" s="83" t="s">
        <v>396</v>
      </c>
      <c r="J150" s="213"/>
      <c r="K150" s="12"/>
    </row>
    <row r="151" spans="2:11" ht="15.75">
      <c r="B151" s="67"/>
      <c r="C151" s="83"/>
      <c r="D151" s="70"/>
      <c r="E151" s="70"/>
      <c r="F151" s="70"/>
      <c r="G151" s="70"/>
      <c r="H151" s="70"/>
      <c r="I151" s="83"/>
      <c r="J151" s="214"/>
      <c r="K151" s="12"/>
    </row>
    <row r="152" spans="2:11" ht="15.75">
      <c r="B152" s="75" t="s">
        <v>337</v>
      </c>
      <c r="C152" s="291">
        <f>SUM(D147:H150)</f>
        <v>0.00019534161961410937</v>
      </c>
      <c r="D152" s="70"/>
      <c r="E152" s="70"/>
      <c r="F152" s="70"/>
      <c r="G152" s="70"/>
      <c r="H152" s="70"/>
      <c r="I152" s="83" t="s">
        <v>370</v>
      </c>
      <c r="J152" s="214"/>
      <c r="K152" s="12"/>
    </row>
    <row r="153" spans="2:18" s="74" customFormat="1" ht="15.75">
      <c r="B153" s="75" t="s">
        <v>337</v>
      </c>
      <c r="C153" s="273">
        <f>C152*310</f>
        <v>0.060555902080373904</v>
      </c>
      <c r="D153" s="67"/>
      <c r="E153" s="67"/>
      <c r="F153" s="67"/>
      <c r="G153" s="67"/>
      <c r="H153" s="67"/>
      <c r="I153" s="83" t="s">
        <v>179</v>
      </c>
      <c r="J153" s="214"/>
      <c r="M153" s="12"/>
      <c r="N153" s="12"/>
      <c r="O153" s="12"/>
      <c r="P153" s="12"/>
      <c r="Q153" s="12"/>
      <c r="R153" s="12"/>
    </row>
    <row r="154" spans="2:18" s="74" customFormat="1" ht="15.75">
      <c r="B154" s="75" t="s">
        <v>337</v>
      </c>
      <c r="C154" s="273">
        <f>C153*10^3</f>
        <v>60.555902080373905</v>
      </c>
      <c r="D154" s="67"/>
      <c r="E154" s="67"/>
      <c r="F154" s="67"/>
      <c r="G154" s="67"/>
      <c r="H154" s="67"/>
      <c r="I154" s="83" t="s">
        <v>313</v>
      </c>
      <c r="J154" s="214"/>
      <c r="M154" s="12"/>
      <c r="N154" s="12"/>
      <c r="O154" s="12"/>
      <c r="P154" s="12"/>
      <c r="Q154" s="12"/>
      <c r="R154" s="12"/>
    </row>
    <row r="155" spans="2:10" s="74" customFormat="1" ht="15.75">
      <c r="B155" s="67"/>
      <c r="C155" s="67"/>
      <c r="D155" s="67"/>
      <c r="E155" s="67"/>
      <c r="F155" s="67"/>
      <c r="G155" s="67"/>
      <c r="H155" s="67"/>
      <c r="I155" s="67"/>
      <c r="J155" s="214"/>
    </row>
    <row r="156" spans="2:10" ht="15.75">
      <c r="B156" s="75" t="s">
        <v>211</v>
      </c>
      <c r="C156" s="75" t="s">
        <v>244</v>
      </c>
      <c r="D156" s="67"/>
      <c r="E156" s="67"/>
      <c r="F156" s="67"/>
      <c r="G156" s="67"/>
      <c r="H156" s="67"/>
      <c r="I156" s="67"/>
      <c r="J156" s="213" t="s">
        <v>403</v>
      </c>
    </row>
    <row r="157" spans="2:11" ht="15.75">
      <c r="B157" s="67"/>
      <c r="C157" s="67" t="s">
        <v>245</v>
      </c>
      <c r="D157" s="67"/>
      <c r="E157" s="67"/>
      <c r="F157" s="67"/>
      <c r="G157" s="67"/>
      <c r="H157" s="67"/>
      <c r="I157" s="67" t="s">
        <v>206</v>
      </c>
      <c r="J157" s="213"/>
      <c r="K157" s="12"/>
    </row>
    <row r="158" spans="2:11" ht="15.75">
      <c r="B158" s="67"/>
      <c r="C158" s="67" t="s">
        <v>207</v>
      </c>
      <c r="D158" s="67"/>
      <c r="E158" s="67"/>
      <c r="F158" s="67"/>
      <c r="G158" s="67"/>
      <c r="H158" s="67"/>
      <c r="I158" s="293" t="s">
        <v>206</v>
      </c>
      <c r="J158" s="213"/>
      <c r="K158" s="12"/>
    </row>
    <row r="159" spans="2:11" ht="15.75">
      <c r="B159" s="67"/>
      <c r="C159" s="67" t="s">
        <v>246</v>
      </c>
      <c r="D159" s="67"/>
      <c r="E159" s="67"/>
      <c r="F159" s="67"/>
      <c r="G159" s="67"/>
      <c r="H159" s="67"/>
      <c r="I159" s="293" t="s">
        <v>247</v>
      </c>
      <c r="J159" s="213"/>
      <c r="K159" s="12"/>
    </row>
    <row r="160" spans="2:11" ht="15.75">
      <c r="B160" s="67"/>
      <c r="C160" s="67"/>
      <c r="D160" s="67"/>
      <c r="E160" s="67"/>
      <c r="F160" s="67"/>
      <c r="G160" s="67"/>
      <c r="H160" s="67"/>
      <c r="I160" s="293"/>
      <c r="J160" s="213"/>
      <c r="K160" s="12"/>
    </row>
    <row r="161" spans="2:11" ht="15.75">
      <c r="B161" s="67" t="s">
        <v>66</v>
      </c>
      <c r="C161" s="345" t="s">
        <v>297</v>
      </c>
      <c r="D161" s="356">
        <f>SUM($D5,$D10)*10^-6*0.1</f>
        <v>0.0007</v>
      </c>
      <c r="E161" s="357"/>
      <c r="F161" s="67"/>
      <c r="G161" s="67"/>
      <c r="H161" s="67"/>
      <c r="I161" s="293" t="s">
        <v>348</v>
      </c>
      <c r="J161" s="105"/>
      <c r="K161" s="14"/>
    </row>
    <row r="162" spans="2:11" ht="15.75">
      <c r="B162" s="67"/>
      <c r="C162" s="348" t="s">
        <v>298</v>
      </c>
      <c r="D162" s="96">
        <f>SUM($D6,$D11)*10^-6*0.1</f>
        <v>0</v>
      </c>
      <c r="E162" s="358"/>
      <c r="F162" s="67"/>
      <c r="G162" s="67"/>
      <c r="H162" s="67"/>
      <c r="I162" s="293" t="s">
        <v>348</v>
      </c>
      <c r="J162" s="105"/>
      <c r="K162" s="112"/>
    </row>
    <row r="163" spans="2:10" ht="15.75">
      <c r="B163" s="67"/>
      <c r="C163" s="348" t="s">
        <v>299</v>
      </c>
      <c r="D163" s="96">
        <f>SUM($D7,$D12)*10^-6*0.1</f>
        <v>0.00065</v>
      </c>
      <c r="E163" s="358"/>
      <c r="F163" s="67"/>
      <c r="G163" s="67"/>
      <c r="H163" s="67"/>
      <c r="I163" s="293" t="s">
        <v>348</v>
      </c>
      <c r="J163" s="104"/>
    </row>
    <row r="164" spans="2:11" ht="16.5" thickBot="1">
      <c r="B164" s="67"/>
      <c r="C164" s="350" t="s">
        <v>300</v>
      </c>
      <c r="D164" s="359">
        <f>SUM($D8,$D13)*10^-6*0.1</f>
        <v>0.00065</v>
      </c>
      <c r="E164" s="360"/>
      <c r="F164" s="67"/>
      <c r="G164" s="67"/>
      <c r="H164" s="67"/>
      <c r="I164" s="293" t="s">
        <v>348</v>
      </c>
      <c r="J164" s="213"/>
      <c r="K164" s="12"/>
    </row>
    <row r="165" spans="2:20" ht="15.75">
      <c r="B165" s="67"/>
      <c r="C165" s="83"/>
      <c r="D165" s="81"/>
      <c r="E165" s="79"/>
      <c r="F165" s="67"/>
      <c r="G165" s="67"/>
      <c r="H165" s="67"/>
      <c r="I165" s="293"/>
      <c r="J165" s="213"/>
      <c r="K165" s="12"/>
      <c r="L165" s="325" t="s">
        <v>410</v>
      </c>
      <c r="M165" s="275" t="s">
        <v>218</v>
      </c>
      <c r="N165" s="485" t="s">
        <v>524</v>
      </c>
      <c r="O165" s="485" t="s">
        <v>525</v>
      </c>
      <c r="P165" s="485" t="s">
        <v>526</v>
      </c>
      <c r="Q165" s="485" t="s">
        <v>427</v>
      </c>
      <c r="R165" s="485" t="s">
        <v>428</v>
      </c>
      <c r="S165" s="485" t="s">
        <v>383</v>
      </c>
      <c r="T165" s="484" t="s">
        <v>446</v>
      </c>
    </row>
    <row r="166" spans="2:20" ht="15.75">
      <c r="B166" s="75" t="s">
        <v>248</v>
      </c>
      <c r="C166" s="75" t="s">
        <v>249</v>
      </c>
      <c r="D166" s="67"/>
      <c r="E166" s="67"/>
      <c r="F166" s="67"/>
      <c r="G166" s="67"/>
      <c r="H166" s="67"/>
      <c r="I166" s="67"/>
      <c r="J166" s="213" t="s">
        <v>404</v>
      </c>
      <c r="K166" s="12"/>
      <c r="L166" s="76"/>
      <c r="M166" s="206" t="s">
        <v>304</v>
      </c>
      <c r="N166" s="68"/>
      <c r="O166" s="68"/>
      <c r="P166" s="68"/>
      <c r="Q166" s="68"/>
      <c r="R166" s="68"/>
      <c r="S166" s="68"/>
      <c r="T166" s="77"/>
    </row>
    <row r="167" spans="2:20" ht="15.75">
      <c r="B167" s="67"/>
      <c r="C167" s="67" t="s">
        <v>250</v>
      </c>
      <c r="D167" s="67"/>
      <c r="E167" s="67"/>
      <c r="F167" s="67"/>
      <c r="G167" s="67"/>
      <c r="H167" s="67"/>
      <c r="I167" s="67"/>
      <c r="J167" s="213" t="s">
        <v>374</v>
      </c>
      <c r="K167" s="12"/>
      <c r="L167" s="284" t="s">
        <v>139</v>
      </c>
      <c r="M167" s="206"/>
      <c r="N167" s="322">
        <v>0.35</v>
      </c>
      <c r="O167" s="323">
        <v>0.4</v>
      </c>
      <c r="P167" s="322">
        <v>0.07</v>
      </c>
      <c r="Q167" s="322">
        <v>0.3</v>
      </c>
      <c r="R167" s="322">
        <v>0.2</v>
      </c>
      <c r="S167" s="322">
        <v>0</v>
      </c>
      <c r="T167" s="324">
        <v>0.2</v>
      </c>
    </row>
    <row r="168" spans="2:20" ht="15.75">
      <c r="B168" s="67"/>
      <c r="C168" s="67"/>
      <c r="D168" s="67"/>
      <c r="E168" s="67"/>
      <c r="F168" s="67"/>
      <c r="G168" s="67"/>
      <c r="H168" s="67"/>
      <c r="I168" s="67"/>
      <c r="J168" s="104"/>
      <c r="K168" s="12"/>
      <c r="L168" s="76" t="s">
        <v>217</v>
      </c>
      <c r="M168" s="276" t="s">
        <v>297</v>
      </c>
      <c r="N168" s="281">
        <f>'Nitrous oxide MMS'!$M60*'Data summary'!C$6%</f>
        <v>0.0007973644791665745</v>
      </c>
      <c r="O168" s="281">
        <f>'Nitrous oxide MMS'!$M60*'Data summary'!D$6%</f>
        <v>6.644703993054788E-05</v>
      </c>
      <c r="P168" s="281">
        <f>'Nitrous oxide MMS'!$M60*'Data summary'!E$6%</f>
        <v>0.00019934111979164363</v>
      </c>
      <c r="Q168" s="281">
        <f>'Nitrous oxide MMS'!$M60*'Data summary'!F$6%</f>
        <v>0</v>
      </c>
      <c r="R168" s="281">
        <f>'Nitrous oxide MMS'!$M60*'Data summary'!G$6%</f>
        <v>0</v>
      </c>
      <c r="S168" s="281">
        <f>'Nitrous oxide MMS'!$M60*'Data summary'!H$6%</f>
        <v>0</v>
      </c>
      <c r="T168" s="282">
        <f>'Nitrous oxide MMS'!$M60*'Data summary'!I$6%</f>
        <v>0.01222625534722081</v>
      </c>
    </row>
    <row r="169" spans="2:20" ht="15.75">
      <c r="B169" s="67" t="s">
        <v>67</v>
      </c>
      <c r="C169" s="83" t="s">
        <v>297</v>
      </c>
      <c r="D169" s="81">
        <f>SUM(N193:T193)</f>
        <v>0.0027648613315100976</v>
      </c>
      <c r="E169" s="79">
        <f>SUM(N198:T198)</f>
        <v>0.0001375006373218865</v>
      </c>
      <c r="F169" s="71">
        <f>SUM(N203:T203)</f>
        <v>8.802266099025466E-05</v>
      </c>
      <c r="G169" s="71">
        <f>SUM(N208:T208)</f>
        <v>1.2826665590387742E-05</v>
      </c>
      <c r="H169" s="71">
        <f>SUM(N213:T213)</f>
        <v>0</v>
      </c>
      <c r="I169" s="293" t="s">
        <v>348</v>
      </c>
      <c r="J169" s="213"/>
      <c r="K169" s="12"/>
      <c r="L169" s="76"/>
      <c r="M169" s="276" t="s">
        <v>298</v>
      </c>
      <c r="N169" s="281">
        <f>'Nitrous oxide MMS'!$M61*'Data summary'!C$6%</f>
        <v>0.00013367769252169536</v>
      </c>
      <c r="O169" s="281">
        <f>'Nitrous oxide MMS'!$M61*'Data summary'!D$6%</f>
        <v>1.1139807710141282E-05</v>
      </c>
      <c r="P169" s="281">
        <f>'Nitrous oxide MMS'!$M61*'Data summary'!E$6%</f>
        <v>3.341942313042384E-05</v>
      </c>
      <c r="Q169" s="281">
        <f>'Nitrous oxide MMS'!$M61*'Data summary'!F$6%</f>
        <v>0</v>
      </c>
      <c r="R169" s="281">
        <f>'Nitrous oxide MMS'!$M61*'Data summary'!G$6%</f>
        <v>0</v>
      </c>
      <c r="S169" s="281">
        <f>'Nitrous oxide MMS'!$M61*'Data summary'!H$6%</f>
        <v>0</v>
      </c>
      <c r="T169" s="282">
        <f>'Nitrous oxide MMS'!$M61*'Data summary'!I$6%</f>
        <v>0.0020497246186659958</v>
      </c>
    </row>
    <row r="170" spans="2:20" ht="15.75">
      <c r="B170" s="67"/>
      <c r="C170" s="83" t="s">
        <v>298</v>
      </c>
      <c r="D170" s="81">
        <f>SUM(N194:T194)</f>
        <v>0.00046352739881897875</v>
      </c>
      <c r="E170" s="79">
        <f>SUM(N199:T199)</f>
        <v>2.589649933788651E-05</v>
      </c>
      <c r="F170" s="71">
        <f>SUM(N204:T204)</f>
        <v>9.872584574254656E-06</v>
      </c>
      <c r="G170" s="71">
        <f>SUM(N209:T209)</f>
        <v>3.5353936655877437E-06</v>
      </c>
      <c r="H170" s="71">
        <f>SUM(N214:T214)</f>
        <v>0</v>
      </c>
      <c r="I170" s="293" t="s">
        <v>348</v>
      </c>
      <c r="J170" s="213"/>
      <c r="K170" s="12"/>
      <c r="L170" s="76"/>
      <c r="M170" s="276" t="s">
        <v>299</v>
      </c>
      <c r="N170" s="281">
        <f>'Nitrous oxide MMS'!$M62*'Data summary'!C$6%</f>
        <v>0.0002377861146561851</v>
      </c>
      <c r="O170" s="281">
        <f>'Nitrous oxide MMS'!$M62*'Data summary'!D$6%</f>
        <v>1.9815509554682092E-05</v>
      </c>
      <c r="P170" s="281">
        <f>'Nitrous oxide MMS'!$M62*'Data summary'!E$6%</f>
        <v>5.9446528664046276E-05</v>
      </c>
      <c r="Q170" s="281">
        <f>'Nitrous oxide MMS'!$M62*'Data summary'!F$6%</f>
        <v>0</v>
      </c>
      <c r="R170" s="281">
        <f>'Nitrous oxide MMS'!$M62*'Data summary'!G$6%</f>
        <v>0</v>
      </c>
      <c r="S170" s="281">
        <f>'Nitrous oxide MMS'!$M62*'Data summary'!H$6%</f>
        <v>0</v>
      </c>
      <c r="T170" s="282">
        <f>'Nitrous oxide MMS'!$M62*'Data summary'!I$6%</f>
        <v>0.0036460537580615053</v>
      </c>
    </row>
    <row r="171" spans="2:20" ht="15.75">
      <c r="B171" s="67"/>
      <c r="C171" s="83" t="s">
        <v>299</v>
      </c>
      <c r="D171" s="81">
        <f>SUM(N195:T195)</f>
        <v>0.000824523352570322</v>
      </c>
      <c r="E171" s="79">
        <f>SUM(N200:T200)</f>
        <v>4.44971890018865E-05</v>
      </c>
      <c r="F171" s="71">
        <f>SUM(N205:T205)</f>
        <v>2.289759731025466E-05</v>
      </c>
      <c r="G171" s="71">
        <f>SUM(N210:T210)</f>
        <v>5.083938986387744E-06</v>
      </c>
      <c r="H171" s="71">
        <f>SUM(N215:T215)</f>
        <v>0</v>
      </c>
      <c r="I171" s="293" t="s">
        <v>348</v>
      </c>
      <c r="J171" s="213"/>
      <c r="K171" s="12"/>
      <c r="L171" s="76"/>
      <c r="M171" s="276" t="s">
        <v>300</v>
      </c>
      <c r="N171" s="281">
        <f>'Nitrous oxide MMS'!$M63*'Data summary'!C$6%</f>
        <v>0.00035034246124477595</v>
      </c>
      <c r="O171" s="281">
        <f>'Nitrous oxide MMS'!$M63*'Data summary'!D$6%</f>
        <v>2.9195205103731332E-05</v>
      </c>
      <c r="P171" s="281">
        <f>'Nitrous oxide MMS'!$M63*'Data summary'!E$6%</f>
        <v>8.758561531119399E-05</v>
      </c>
      <c r="Q171" s="281">
        <f>'Nitrous oxide MMS'!$M63*'Data summary'!F$6%</f>
        <v>0</v>
      </c>
      <c r="R171" s="281">
        <f>'Nitrous oxide MMS'!$M63*'Data summary'!G$6%</f>
        <v>0</v>
      </c>
      <c r="S171" s="281">
        <f>'Nitrous oxide MMS'!$M63*'Data summary'!H$6%</f>
        <v>0</v>
      </c>
      <c r="T171" s="282">
        <f>'Nitrous oxide MMS'!$M63*'Data summary'!I$6%</f>
        <v>0.005371917739086565</v>
      </c>
    </row>
    <row r="172" spans="2:20" ht="15.75">
      <c r="B172" s="67"/>
      <c r="C172" s="83" t="s">
        <v>300</v>
      </c>
      <c r="D172" s="81">
        <f>SUM(N196:T196)</f>
        <v>0.0012148124843662607</v>
      </c>
      <c r="E172" s="79">
        <f>SUM(N201:T201)</f>
        <v>0.00011269971776988648</v>
      </c>
      <c r="F172" s="71">
        <f>SUM(N206:T206)</f>
        <v>7.065597734225465E-05</v>
      </c>
      <c r="G172" s="71">
        <f>SUM(N211:T211)</f>
        <v>1.0761938495987742E-05</v>
      </c>
      <c r="H172" s="71">
        <f>SUM(N216:T216)</f>
        <v>0</v>
      </c>
      <c r="I172" s="293" t="s">
        <v>348</v>
      </c>
      <c r="J172" s="213"/>
      <c r="K172" s="12"/>
      <c r="L172" s="76"/>
      <c r="M172" s="276"/>
      <c r="N172" s="281"/>
      <c r="O172" s="281"/>
      <c r="P172" s="281"/>
      <c r="Q172" s="281"/>
      <c r="R172" s="281"/>
      <c r="S172" s="281"/>
      <c r="T172" s="282"/>
    </row>
    <row r="173" spans="2:20" ht="15.75">
      <c r="B173" s="67"/>
      <c r="C173" s="67"/>
      <c r="D173" s="67"/>
      <c r="E173" s="67"/>
      <c r="F173" s="67"/>
      <c r="G173" s="67"/>
      <c r="H173" s="67"/>
      <c r="I173" s="67"/>
      <c r="J173" s="104"/>
      <c r="K173" s="12"/>
      <c r="L173" s="76" t="s">
        <v>384</v>
      </c>
      <c r="M173" s="276" t="s">
        <v>297</v>
      </c>
      <c r="N173" s="281">
        <f>'Nitrous oxide MMS'!$N60*'Data summary'!C$7%</f>
        <v>0</v>
      </c>
      <c r="O173" s="281">
        <f>'Nitrous oxide MMS'!$N60*'Data summary'!D$7%</f>
        <v>0</v>
      </c>
      <c r="P173" s="281">
        <f>'Nitrous oxide MMS'!$N60*'Data summary'!E$7%</f>
        <v>0</v>
      </c>
      <c r="Q173" s="281">
        <f>'Nitrous oxide MMS'!$N60*'Data summary'!F$7%</f>
        <v>0</v>
      </c>
      <c r="R173" s="281">
        <f>'Nitrous oxide MMS'!$N60*'Data summary'!G$7%</f>
        <v>0</v>
      </c>
      <c r="S173" s="281">
        <f>'Nitrous oxide MMS'!$N60*'Data summary'!H$7%</f>
        <v>0</v>
      </c>
      <c r="T173" s="282">
        <f>'Nitrous oxide MMS'!$N60*'Data summary'!I$7%</f>
        <v>0.0006875031866094324</v>
      </c>
    </row>
    <row r="174" spans="2:20" ht="15.75">
      <c r="B174" s="67"/>
      <c r="C174" s="67"/>
      <c r="D174" s="67"/>
      <c r="E174" s="492"/>
      <c r="F174" s="492"/>
      <c r="G174" s="67"/>
      <c r="H174" s="67"/>
      <c r="I174" s="67"/>
      <c r="J174" s="104"/>
      <c r="K174" s="12"/>
      <c r="L174" s="76"/>
      <c r="M174" s="276" t="s">
        <v>298</v>
      </c>
      <c r="N174" s="281">
        <f>'Nitrous oxide MMS'!$N61*'Data summary'!C$7%</f>
        <v>0</v>
      </c>
      <c r="O174" s="281">
        <f>'Nitrous oxide MMS'!$N61*'Data summary'!D$7%</f>
        <v>0</v>
      </c>
      <c r="P174" s="281">
        <f>'Nitrous oxide MMS'!$N61*'Data summary'!E$7%</f>
        <v>0</v>
      </c>
      <c r="Q174" s="281">
        <f>'Nitrous oxide MMS'!$N61*'Data summary'!F$7%</f>
        <v>0</v>
      </c>
      <c r="R174" s="281">
        <f>'Nitrous oxide MMS'!$N61*'Data summary'!G$7%</f>
        <v>0</v>
      </c>
      <c r="S174" s="281">
        <f>'Nitrous oxide MMS'!$N61*'Data summary'!H$7%</f>
        <v>0</v>
      </c>
      <c r="T174" s="282">
        <f>'Nitrous oxide MMS'!$N61*'Data summary'!I$7%</f>
        <v>0.00012948249668943255</v>
      </c>
    </row>
    <row r="175" spans="2:20" ht="15.75">
      <c r="B175" s="75" t="s">
        <v>252</v>
      </c>
      <c r="C175" s="80" t="s">
        <v>251</v>
      </c>
      <c r="D175" s="68"/>
      <c r="E175" s="493"/>
      <c r="F175" s="492"/>
      <c r="G175" s="68"/>
      <c r="H175" s="68"/>
      <c r="I175" s="68" t="s">
        <v>206</v>
      </c>
      <c r="J175" s="213" t="s">
        <v>405</v>
      </c>
      <c r="K175" s="12"/>
      <c r="L175" s="76"/>
      <c r="M175" s="276" t="s">
        <v>299</v>
      </c>
      <c r="N175" s="281">
        <f>'Nitrous oxide MMS'!$N62*'Data summary'!C$7%</f>
        <v>0</v>
      </c>
      <c r="O175" s="281">
        <f>'Nitrous oxide MMS'!$N62*'Data summary'!D$7%</f>
        <v>0</v>
      </c>
      <c r="P175" s="281">
        <f>'Nitrous oxide MMS'!$N62*'Data summary'!E$7%</f>
        <v>0</v>
      </c>
      <c r="Q175" s="281">
        <f>'Nitrous oxide MMS'!$N62*'Data summary'!F$7%</f>
        <v>0</v>
      </c>
      <c r="R175" s="281">
        <f>'Nitrous oxide MMS'!$N62*'Data summary'!G$7%</f>
        <v>0</v>
      </c>
      <c r="S175" s="281">
        <f>'Nitrous oxide MMS'!$N62*'Data summary'!H$7%</f>
        <v>0</v>
      </c>
      <c r="T175" s="282">
        <f>'Nitrous oxide MMS'!$N62*'Data summary'!I$7%</f>
        <v>0.0002224859450094325</v>
      </c>
    </row>
    <row r="176" spans="2:20" ht="15.75">
      <c r="B176" s="67"/>
      <c r="C176" s="68" t="s">
        <v>253</v>
      </c>
      <c r="D176" s="68"/>
      <c r="E176" s="493"/>
      <c r="F176" s="492"/>
      <c r="G176" s="68"/>
      <c r="H176" s="68"/>
      <c r="I176" s="68" t="s">
        <v>254</v>
      </c>
      <c r="J176" s="213" t="s">
        <v>398</v>
      </c>
      <c r="K176" s="12"/>
      <c r="L176" s="76"/>
      <c r="M176" s="276" t="s">
        <v>300</v>
      </c>
      <c r="N176" s="281">
        <f>'Nitrous oxide MMS'!$N63*'Data summary'!C$7%</f>
        <v>0</v>
      </c>
      <c r="O176" s="281">
        <f>'Nitrous oxide MMS'!$N63*'Data summary'!D$7%</f>
        <v>0</v>
      </c>
      <c r="P176" s="281">
        <f>'Nitrous oxide MMS'!$N63*'Data summary'!E$7%</f>
        <v>0</v>
      </c>
      <c r="Q176" s="281">
        <f>'Nitrous oxide MMS'!$N63*'Data summary'!F$7%</f>
        <v>0</v>
      </c>
      <c r="R176" s="281">
        <f>'Nitrous oxide MMS'!$N63*'Data summary'!G$7%</f>
        <v>0</v>
      </c>
      <c r="S176" s="281">
        <f>'Nitrous oxide MMS'!$N63*'Data summary'!H$7%</f>
        <v>0</v>
      </c>
      <c r="T176" s="282">
        <f>'Nitrous oxide MMS'!$N63*'Data summary'!I$7%</f>
        <v>0.0005634985888494324</v>
      </c>
    </row>
    <row r="177" spans="2:20" ht="15.75">
      <c r="B177" s="67"/>
      <c r="C177" s="68" t="s">
        <v>255</v>
      </c>
      <c r="D177" s="68"/>
      <c r="E177" s="493"/>
      <c r="F177" s="493"/>
      <c r="G177" s="68"/>
      <c r="H177" s="68"/>
      <c r="I177" s="68"/>
      <c r="J177" s="213"/>
      <c r="K177" s="12"/>
      <c r="L177" s="76"/>
      <c r="M177" s="276"/>
      <c r="N177" s="281"/>
      <c r="O177" s="281"/>
      <c r="P177" s="281"/>
      <c r="Q177" s="281"/>
      <c r="R177" s="281"/>
      <c r="S177" s="281"/>
      <c r="T177" s="282"/>
    </row>
    <row r="178" spans="2:20" ht="15.75">
      <c r="B178" s="67"/>
      <c r="C178" s="67"/>
      <c r="D178" s="67"/>
      <c r="E178" s="492"/>
      <c r="F178" s="492"/>
      <c r="G178" s="67"/>
      <c r="H178" s="67"/>
      <c r="I178" s="67"/>
      <c r="J178" s="104"/>
      <c r="K178" s="12"/>
      <c r="L178" s="76" t="s">
        <v>385</v>
      </c>
      <c r="M178" s="276" t="s">
        <v>297</v>
      </c>
      <c r="N178" s="281">
        <f>'Nitrous oxide MMS'!$O60*'Data summary'!C$7%</f>
        <v>0</v>
      </c>
      <c r="O178" s="281">
        <f>'Nitrous oxide MMS'!$O60*'Data summary'!D$7%</f>
        <v>0</v>
      </c>
      <c r="P178" s="281">
        <f>'Nitrous oxide MMS'!$O60*'Data summary'!E$7%</f>
        <v>0</v>
      </c>
      <c r="Q178" s="281">
        <f>'Nitrous oxide MMS'!$O60*'Data summary'!F$7%</f>
        <v>0</v>
      </c>
      <c r="R178" s="281">
        <f>'Nitrous oxide MMS'!$O60*'Data summary'!G$7%</f>
        <v>0</v>
      </c>
      <c r="S178" s="281">
        <f>'Nitrous oxide MMS'!$O60*'Data summary'!H$7%</f>
        <v>0</v>
      </c>
      <c r="T178" s="282">
        <f>'Nitrous oxide MMS'!$O60*'Data summary'!I$7%</f>
        <v>0.0004401133049512732</v>
      </c>
    </row>
    <row r="179" spans="2:20" ht="15.75">
      <c r="B179" s="67"/>
      <c r="C179" s="67"/>
      <c r="D179" s="67"/>
      <c r="E179" s="67"/>
      <c r="F179" s="67"/>
      <c r="G179" s="67"/>
      <c r="H179" s="67"/>
      <c r="I179" s="67"/>
      <c r="J179" s="104"/>
      <c r="K179" s="12"/>
      <c r="L179" s="76"/>
      <c r="M179" s="276" t="s">
        <v>298</v>
      </c>
      <c r="N179" s="281">
        <f>'Nitrous oxide MMS'!$O61*'Data summary'!C$7%</f>
        <v>0</v>
      </c>
      <c r="O179" s="281">
        <f>'Nitrous oxide MMS'!$O61*'Data summary'!D$7%</f>
        <v>0</v>
      </c>
      <c r="P179" s="281">
        <f>'Nitrous oxide MMS'!$O61*'Data summary'!E$7%</f>
        <v>0</v>
      </c>
      <c r="Q179" s="281">
        <f>'Nitrous oxide MMS'!$O61*'Data summary'!F$7%</f>
        <v>0</v>
      </c>
      <c r="R179" s="281">
        <f>'Nitrous oxide MMS'!$O61*'Data summary'!G$7%</f>
        <v>0</v>
      </c>
      <c r="S179" s="281">
        <f>'Nitrous oxide MMS'!$O61*'Data summary'!H$7%</f>
        <v>0</v>
      </c>
      <c r="T179" s="282">
        <f>'Nitrous oxide MMS'!$O61*'Data summary'!I$7%</f>
        <v>4.936292287127328E-05</v>
      </c>
    </row>
    <row r="180" spans="2:20" ht="15.75">
      <c r="B180" s="67"/>
      <c r="C180" s="68"/>
      <c r="D180" s="68"/>
      <c r="E180" s="68"/>
      <c r="F180" s="68"/>
      <c r="G180" s="68"/>
      <c r="H180" s="68"/>
      <c r="I180" s="68"/>
      <c r="J180" s="213"/>
      <c r="K180" s="12"/>
      <c r="L180" s="76"/>
      <c r="M180" s="276" t="s">
        <v>299</v>
      </c>
      <c r="N180" s="281">
        <f>'Nitrous oxide MMS'!$O62*'Data summary'!C$7%</f>
        <v>0</v>
      </c>
      <c r="O180" s="281">
        <f>'Nitrous oxide MMS'!$O62*'Data summary'!D$7%</f>
        <v>0</v>
      </c>
      <c r="P180" s="281">
        <f>'Nitrous oxide MMS'!$O62*'Data summary'!E$7%</f>
        <v>0</v>
      </c>
      <c r="Q180" s="281">
        <f>'Nitrous oxide MMS'!$O62*'Data summary'!F$7%</f>
        <v>0</v>
      </c>
      <c r="R180" s="281">
        <f>'Nitrous oxide MMS'!$O62*'Data summary'!G$7%</f>
        <v>0</v>
      </c>
      <c r="S180" s="281">
        <f>'Nitrous oxide MMS'!$O62*'Data summary'!H$7%</f>
        <v>0</v>
      </c>
      <c r="T180" s="282">
        <f>'Nitrous oxide MMS'!$O62*'Data summary'!I$7%</f>
        <v>0.0001144879865512733</v>
      </c>
    </row>
    <row r="181" spans="2:20" ht="15.75">
      <c r="B181" s="75" t="s">
        <v>292</v>
      </c>
      <c r="C181" s="75" t="s">
        <v>229</v>
      </c>
      <c r="D181" s="67"/>
      <c r="E181" s="67"/>
      <c r="F181" s="67"/>
      <c r="G181" s="67"/>
      <c r="H181" s="67"/>
      <c r="I181" s="67"/>
      <c r="J181" s="213" t="s">
        <v>406</v>
      </c>
      <c r="K181" s="12"/>
      <c r="L181" s="76"/>
      <c r="M181" s="276" t="s">
        <v>300</v>
      </c>
      <c r="N181" s="281">
        <f>'Nitrous oxide MMS'!$O63*'Data summary'!C$7%</f>
        <v>0</v>
      </c>
      <c r="O181" s="281">
        <f>'Nitrous oxide MMS'!$O63*'Data summary'!D$7%</f>
        <v>0</v>
      </c>
      <c r="P181" s="281">
        <f>'Nitrous oxide MMS'!$O63*'Data summary'!E$7%</f>
        <v>0</v>
      </c>
      <c r="Q181" s="281">
        <f>'Nitrous oxide MMS'!$O63*'Data summary'!F$7%</f>
        <v>0</v>
      </c>
      <c r="R181" s="281">
        <f>'Nitrous oxide MMS'!$O63*'Data summary'!G$7%</f>
        <v>0</v>
      </c>
      <c r="S181" s="281">
        <f>'Nitrous oxide MMS'!$O63*'Data summary'!H$7%</f>
        <v>0</v>
      </c>
      <c r="T181" s="282">
        <f>'Nitrous oxide MMS'!$O63*'Data summary'!I$7%</f>
        <v>0.0003532798867112732</v>
      </c>
    </row>
    <row r="182" spans="2:20" ht="15.75">
      <c r="B182" s="67"/>
      <c r="C182" s="67" t="s">
        <v>256</v>
      </c>
      <c r="D182" s="67"/>
      <c r="E182" s="67"/>
      <c r="F182" s="67"/>
      <c r="G182" s="67"/>
      <c r="H182" s="67"/>
      <c r="I182" s="67" t="s">
        <v>206</v>
      </c>
      <c r="J182" s="213"/>
      <c r="K182" s="12"/>
      <c r="L182" s="76"/>
      <c r="M182" s="68"/>
      <c r="N182" s="281"/>
      <c r="O182" s="281"/>
      <c r="P182" s="281"/>
      <c r="Q182" s="281"/>
      <c r="R182" s="281"/>
      <c r="S182" s="281"/>
      <c r="T182" s="282"/>
    </row>
    <row r="183" spans="2:20" ht="15.75">
      <c r="B183" s="67"/>
      <c r="C183" s="67" t="s">
        <v>257</v>
      </c>
      <c r="D183" s="67"/>
      <c r="E183" s="67"/>
      <c r="F183" s="67"/>
      <c r="G183" s="67"/>
      <c r="H183" s="67"/>
      <c r="I183" s="67" t="s">
        <v>233</v>
      </c>
      <c r="J183" s="213"/>
      <c r="K183" s="12"/>
      <c r="L183" s="76" t="s">
        <v>386</v>
      </c>
      <c r="M183" s="276" t="s">
        <v>297</v>
      </c>
      <c r="N183" s="281">
        <f>'Nitrous oxide MMS'!$P60*'Data summary'!C$7%</f>
        <v>0</v>
      </c>
      <c r="O183" s="281">
        <f>'Nitrous oxide MMS'!$P60*'Data summary'!D$7%</f>
        <v>0</v>
      </c>
      <c r="P183" s="281">
        <f>'Nitrous oxide MMS'!$P60*'Data summary'!E$7%</f>
        <v>0</v>
      </c>
      <c r="Q183" s="281">
        <f>'Nitrous oxide MMS'!$P60*'Data summary'!F$7%</f>
        <v>0</v>
      </c>
      <c r="R183" s="281">
        <f>'Nitrous oxide MMS'!$P60*'Data summary'!G$7%</f>
        <v>0</v>
      </c>
      <c r="S183" s="281">
        <f>'Nitrous oxide MMS'!$P60*'Data summary'!H$7%</f>
        <v>0</v>
      </c>
      <c r="T183" s="282">
        <f>'Nitrous oxide MMS'!$P60*'Data summary'!I$7%</f>
        <v>6.413332795193871E-05</v>
      </c>
    </row>
    <row r="184" spans="2:20" ht="15.75">
      <c r="B184" s="67"/>
      <c r="C184" s="67"/>
      <c r="D184" s="67"/>
      <c r="E184" s="67"/>
      <c r="F184" s="67"/>
      <c r="G184" s="67"/>
      <c r="H184" s="67"/>
      <c r="I184" s="67"/>
      <c r="J184" s="213"/>
      <c r="K184" s="12"/>
      <c r="L184" s="76"/>
      <c r="M184" s="276" t="s">
        <v>298</v>
      </c>
      <c r="N184" s="281">
        <f>'Nitrous oxide MMS'!$P61*'Data summary'!C$7%</f>
        <v>0</v>
      </c>
      <c r="O184" s="281">
        <f>'Nitrous oxide MMS'!$P61*'Data summary'!D$7%</f>
        <v>0</v>
      </c>
      <c r="P184" s="281">
        <f>'Nitrous oxide MMS'!$P61*'Data summary'!E$7%</f>
        <v>0</v>
      </c>
      <c r="Q184" s="281">
        <f>'Nitrous oxide MMS'!$P61*'Data summary'!F$7%</f>
        <v>0</v>
      </c>
      <c r="R184" s="281">
        <f>'Nitrous oxide MMS'!$P61*'Data summary'!G$7%</f>
        <v>0</v>
      </c>
      <c r="S184" s="281">
        <f>'Nitrous oxide MMS'!$P61*'Data summary'!H$7%</f>
        <v>0</v>
      </c>
      <c r="T184" s="282">
        <f>'Nitrous oxide MMS'!$P61*'Data summary'!I$7%</f>
        <v>1.767696832793872E-05</v>
      </c>
    </row>
    <row r="185" spans="2:20" ht="15.75">
      <c r="B185" s="67" t="s">
        <v>66</v>
      </c>
      <c r="C185" s="345" t="s">
        <v>297</v>
      </c>
      <c r="D185" s="346">
        <f>D161*0.01*$C$15</f>
        <v>1.1E-05</v>
      </c>
      <c r="E185" s="347"/>
      <c r="F185" s="67"/>
      <c r="G185" s="67"/>
      <c r="H185" s="67"/>
      <c r="I185" s="293" t="s">
        <v>396</v>
      </c>
      <c r="J185" s="213"/>
      <c r="K185" s="12"/>
      <c r="L185" s="76"/>
      <c r="M185" s="276" t="s">
        <v>299</v>
      </c>
      <c r="N185" s="281">
        <f>'Nitrous oxide MMS'!$P62*'Data summary'!C$7%</f>
        <v>0</v>
      </c>
      <c r="O185" s="281">
        <f>'Nitrous oxide MMS'!$P62*'Data summary'!D$7%</f>
        <v>0</v>
      </c>
      <c r="P185" s="281">
        <f>'Nitrous oxide MMS'!$P62*'Data summary'!E$7%</f>
        <v>0</v>
      </c>
      <c r="Q185" s="281">
        <f>'Nitrous oxide MMS'!$P62*'Data summary'!F$7%</f>
        <v>0</v>
      </c>
      <c r="R185" s="281">
        <f>'Nitrous oxide MMS'!$P62*'Data summary'!G$7%</f>
        <v>0</v>
      </c>
      <c r="S185" s="281">
        <f>'Nitrous oxide MMS'!$P62*'Data summary'!H$7%</f>
        <v>0</v>
      </c>
      <c r="T185" s="282">
        <f>'Nitrous oxide MMS'!$P62*'Data summary'!I$7%</f>
        <v>2.541969493193872E-05</v>
      </c>
    </row>
    <row r="186" spans="2:20" ht="15.75">
      <c r="B186" s="67"/>
      <c r="C186" s="348" t="s">
        <v>298</v>
      </c>
      <c r="D186" s="81">
        <f>D162*0.01*$C$15</f>
        <v>0</v>
      </c>
      <c r="E186" s="349"/>
      <c r="F186" s="67"/>
      <c r="G186" s="67"/>
      <c r="H186" s="67"/>
      <c r="I186" s="293" t="s">
        <v>396</v>
      </c>
      <c r="J186" s="213"/>
      <c r="K186" s="12"/>
      <c r="L186" s="76"/>
      <c r="M186" s="276" t="s">
        <v>300</v>
      </c>
      <c r="N186" s="281">
        <f>'Nitrous oxide MMS'!$P63*'Data summary'!C$7%</f>
        <v>0</v>
      </c>
      <c r="O186" s="281">
        <f>'Nitrous oxide MMS'!$P63*'Data summary'!D$7%</f>
        <v>0</v>
      </c>
      <c r="P186" s="281">
        <f>'Nitrous oxide MMS'!$P63*'Data summary'!E$7%</f>
        <v>0</v>
      </c>
      <c r="Q186" s="281">
        <f>'Nitrous oxide MMS'!$P63*'Data summary'!F$7%</f>
        <v>0</v>
      </c>
      <c r="R186" s="281">
        <f>'Nitrous oxide MMS'!$P63*'Data summary'!G$7%</f>
        <v>0</v>
      </c>
      <c r="S186" s="281">
        <f>'Nitrous oxide MMS'!$P63*'Data summary'!H$7%</f>
        <v>0</v>
      </c>
      <c r="T186" s="282">
        <f>'Nitrous oxide MMS'!$P63*'Data summary'!I$7%</f>
        <v>5.3809692479938706E-05</v>
      </c>
    </row>
    <row r="187" spans="2:20" ht="15.75">
      <c r="B187" s="67"/>
      <c r="C187" s="348" t="s">
        <v>299</v>
      </c>
      <c r="D187" s="81">
        <f>D163*0.01*$C$15</f>
        <v>1.0214285714285714E-05</v>
      </c>
      <c r="E187" s="349"/>
      <c r="F187" s="67"/>
      <c r="G187" s="67"/>
      <c r="H187" s="67"/>
      <c r="I187" s="293" t="s">
        <v>396</v>
      </c>
      <c r="J187" s="213"/>
      <c r="K187" s="12"/>
      <c r="L187" s="76"/>
      <c r="M187" s="68"/>
      <c r="N187" s="281"/>
      <c r="O187" s="281"/>
      <c r="P187" s="281"/>
      <c r="Q187" s="281"/>
      <c r="R187" s="281">
        <f>'Nitrous oxide MMS'!$M79*'Data summary'!G$6%</f>
        <v>0</v>
      </c>
      <c r="S187" s="281"/>
      <c r="T187" s="282"/>
    </row>
    <row r="188" spans="2:20" ht="15.75">
      <c r="B188" s="67"/>
      <c r="C188" s="350" t="s">
        <v>300</v>
      </c>
      <c r="D188" s="351">
        <f>D164*0.01*$C$15</f>
        <v>1.0214285714285714E-05</v>
      </c>
      <c r="E188" s="352"/>
      <c r="F188" s="67"/>
      <c r="G188" s="67"/>
      <c r="H188" s="67"/>
      <c r="I188" s="293" t="s">
        <v>396</v>
      </c>
      <c r="J188" s="213"/>
      <c r="K188" s="12"/>
      <c r="L188" s="76" t="s">
        <v>387</v>
      </c>
      <c r="M188" s="276" t="s">
        <v>297</v>
      </c>
      <c r="N188" s="281">
        <f>'Nitrous oxide MMS'!$Q60*'Data summary'!C$7%</f>
        <v>0</v>
      </c>
      <c r="O188" s="281">
        <f>'Nitrous oxide MMS'!$Q60*'Data summary'!D$7%</f>
        <v>0</v>
      </c>
      <c r="P188" s="281">
        <f>'Nitrous oxide MMS'!$Q60*'Data summary'!E$7%</f>
        <v>0</v>
      </c>
      <c r="Q188" s="281">
        <f>'Nitrous oxide MMS'!$Q60*'Data summary'!F$7%</f>
        <v>0</v>
      </c>
      <c r="R188" s="281">
        <f>'Nitrous oxide MMS'!$Q60*'Data summary'!G$7%</f>
        <v>0</v>
      </c>
      <c r="S188" s="281">
        <f>'Nitrous oxide MMS'!$Q60*'Data summary'!H$7%</f>
        <v>0</v>
      </c>
      <c r="T188" s="282">
        <f>'Nitrous oxide MMS'!$Q60*'Data summary'!I$7%</f>
        <v>0</v>
      </c>
    </row>
    <row r="189" spans="2:20" ht="15.75">
      <c r="B189" s="67"/>
      <c r="C189" s="83"/>
      <c r="D189" s="67"/>
      <c r="E189" s="67"/>
      <c r="F189" s="67"/>
      <c r="G189" s="67"/>
      <c r="H189" s="67"/>
      <c r="I189" s="67"/>
      <c r="J189" s="213"/>
      <c r="K189" s="12"/>
      <c r="L189" s="76"/>
      <c r="M189" s="276" t="s">
        <v>298</v>
      </c>
      <c r="N189" s="281">
        <f>'Nitrous oxide MMS'!$Q61*'Data summary'!C$7%</f>
        <v>0</v>
      </c>
      <c r="O189" s="281">
        <f>'Nitrous oxide MMS'!$Q61*'Data summary'!D$7%</f>
        <v>0</v>
      </c>
      <c r="P189" s="281">
        <f>'Nitrous oxide MMS'!$Q61*'Data summary'!E$7%</f>
        <v>0</v>
      </c>
      <c r="Q189" s="281">
        <f>'Nitrous oxide MMS'!$Q61*'Data summary'!F$7%</f>
        <v>0</v>
      </c>
      <c r="R189" s="281">
        <f>'Nitrous oxide MMS'!$Q61*'Data summary'!G$7%</f>
        <v>0</v>
      </c>
      <c r="S189" s="281">
        <f>'Nitrous oxide MMS'!$Q61*'Data summary'!H$7%</f>
        <v>0</v>
      </c>
      <c r="T189" s="282">
        <f>'Nitrous oxide MMS'!$Q61*'Data summary'!I$7%</f>
        <v>0</v>
      </c>
    </row>
    <row r="190" spans="2:20" ht="15.75">
      <c r="B190" s="67" t="s">
        <v>67</v>
      </c>
      <c r="C190" s="83" t="s">
        <v>297</v>
      </c>
      <c r="D190" s="70">
        <f aca="true" t="shared" si="4" ref="D190:H193">D169*0.01*$C$15</f>
        <v>4.34478209237301E-05</v>
      </c>
      <c r="E190" s="70">
        <f t="shared" si="4"/>
        <v>2.160724300772502E-06</v>
      </c>
      <c r="F190" s="70">
        <f t="shared" si="4"/>
        <v>1.383213244132573E-06</v>
      </c>
      <c r="G190" s="70">
        <f t="shared" si="4"/>
        <v>2.0156188784895024E-07</v>
      </c>
      <c r="H190" s="70">
        <f t="shared" si="4"/>
        <v>0</v>
      </c>
      <c r="I190" s="293" t="s">
        <v>396</v>
      </c>
      <c r="J190" s="213"/>
      <c r="K190" s="12"/>
      <c r="L190" s="76"/>
      <c r="M190" s="276" t="s">
        <v>299</v>
      </c>
      <c r="N190" s="281">
        <f>'Nitrous oxide MMS'!$Q62*'Data summary'!C$7%</f>
        <v>0</v>
      </c>
      <c r="O190" s="281">
        <f>'Nitrous oxide MMS'!$Q62*'Data summary'!D$7%</f>
        <v>0</v>
      </c>
      <c r="P190" s="281">
        <f>'Nitrous oxide MMS'!$Q62*'Data summary'!E$7%</f>
        <v>0</v>
      </c>
      <c r="Q190" s="281">
        <f>'Nitrous oxide MMS'!$Q62*'Data summary'!F$7%</f>
        <v>0</v>
      </c>
      <c r="R190" s="281">
        <f>'Nitrous oxide MMS'!$Q62*'Data summary'!G$7%</f>
        <v>0</v>
      </c>
      <c r="S190" s="281">
        <f>'Nitrous oxide MMS'!$Q62*'Data summary'!H$7%</f>
        <v>0</v>
      </c>
      <c r="T190" s="282">
        <f>'Nitrous oxide MMS'!$Q62*'Data summary'!I$7%</f>
        <v>0</v>
      </c>
    </row>
    <row r="191" spans="2:20" ht="15.75">
      <c r="B191" s="67"/>
      <c r="C191" s="83" t="s">
        <v>298</v>
      </c>
      <c r="D191" s="70">
        <f t="shared" si="4"/>
        <v>7.2840019814410945E-06</v>
      </c>
      <c r="E191" s="70">
        <f t="shared" si="4"/>
        <v>4.0694498959535946E-07</v>
      </c>
      <c r="F191" s="70">
        <f t="shared" si="4"/>
        <v>1.5514061473828744E-07</v>
      </c>
      <c r="G191" s="70">
        <f t="shared" si="4"/>
        <v>5.5556186173521685E-08</v>
      </c>
      <c r="H191" s="70">
        <f t="shared" si="4"/>
        <v>0</v>
      </c>
      <c r="I191" s="293" t="s">
        <v>396</v>
      </c>
      <c r="J191" s="213"/>
      <c r="K191" s="12"/>
      <c r="L191" s="76"/>
      <c r="M191" s="276" t="s">
        <v>300</v>
      </c>
      <c r="N191" s="281">
        <f>'Nitrous oxide MMS'!$Q63*'Data summary'!C$7%</f>
        <v>0</v>
      </c>
      <c r="O191" s="281">
        <f>'Nitrous oxide MMS'!$Q63*'Data summary'!D$7%</f>
        <v>0</v>
      </c>
      <c r="P191" s="281">
        <f>'Nitrous oxide MMS'!$Q63*'Data summary'!E$7%</f>
        <v>0</v>
      </c>
      <c r="Q191" s="281">
        <f>'Nitrous oxide MMS'!$Q63*'Data summary'!F$7%</f>
        <v>0</v>
      </c>
      <c r="R191" s="281">
        <f>'Nitrous oxide MMS'!$Q63*'Data summary'!G$7%</f>
        <v>0</v>
      </c>
      <c r="S191" s="281">
        <f>'Nitrous oxide MMS'!$Q63*'Data summary'!H$7%</f>
        <v>0</v>
      </c>
      <c r="T191" s="282">
        <f>'Nitrous oxide MMS'!$Q63*'Data summary'!I$7%</f>
        <v>0</v>
      </c>
    </row>
    <row r="192" spans="2:20" ht="15.75">
      <c r="B192" s="67"/>
      <c r="C192" s="83" t="s">
        <v>299</v>
      </c>
      <c r="D192" s="70">
        <f t="shared" si="4"/>
        <v>1.2956795540390775E-05</v>
      </c>
      <c r="E192" s="70">
        <f t="shared" si="4"/>
        <v>6.992415414582164E-07</v>
      </c>
      <c r="F192" s="70">
        <f t="shared" si="4"/>
        <v>3.598193863040018E-07</v>
      </c>
      <c r="G192" s="70">
        <f t="shared" si="4"/>
        <v>7.989046978609311E-08</v>
      </c>
      <c r="H192" s="70">
        <f t="shared" si="4"/>
        <v>0</v>
      </c>
      <c r="I192" s="293" t="s">
        <v>396</v>
      </c>
      <c r="J192" s="213"/>
      <c r="K192" s="12"/>
      <c r="L192" s="76"/>
      <c r="M192" s="68"/>
      <c r="N192" s="68"/>
      <c r="O192" s="68"/>
      <c r="P192" s="68"/>
      <c r="Q192" s="68"/>
      <c r="R192" s="281">
        <f>'Nitrous oxide MMS'!$M84*'Data summary'!G$6%</f>
        <v>0</v>
      </c>
      <c r="S192" s="68"/>
      <c r="T192" s="77"/>
    </row>
    <row r="193" spans="2:20" ht="15.75">
      <c r="B193" s="67"/>
      <c r="C193" s="83" t="s">
        <v>300</v>
      </c>
      <c r="D193" s="70">
        <f t="shared" si="4"/>
        <v>1.908991046861267E-05</v>
      </c>
      <c r="E193" s="70">
        <f t="shared" si="4"/>
        <v>1.770995564955359E-06</v>
      </c>
      <c r="F193" s="70">
        <f t="shared" si="4"/>
        <v>1.1103082153782873E-06</v>
      </c>
      <c r="G193" s="70">
        <f t="shared" si="4"/>
        <v>1.6911617636552166E-07</v>
      </c>
      <c r="H193" s="70">
        <f t="shared" si="4"/>
        <v>0</v>
      </c>
      <c r="I193" s="293" t="s">
        <v>396</v>
      </c>
      <c r="J193" s="213"/>
      <c r="K193" s="12"/>
      <c r="L193" s="76" t="s">
        <v>388</v>
      </c>
      <c r="M193" s="276" t="s">
        <v>297</v>
      </c>
      <c r="N193" s="84">
        <f aca="true" t="shared" si="5" ref="N193:T196">N168*N$167</f>
        <v>0.0002790775677083011</v>
      </c>
      <c r="O193" s="84">
        <f t="shared" si="5"/>
        <v>2.6578815972219153E-05</v>
      </c>
      <c r="P193" s="84">
        <f t="shared" si="5"/>
        <v>1.3953878385415056E-05</v>
      </c>
      <c r="Q193" s="84">
        <f t="shared" si="5"/>
        <v>0</v>
      </c>
      <c r="R193" s="84">
        <f t="shared" si="5"/>
        <v>0</v>
      </c>
      <c r="S193" s="84">
        <f t="shared" si="5"/>
        <v>0</v>
      </c>
      <c r="T193" s="283">
        <f t="shared" si="5"/>
        <v>0.002445251069444162</v>
      </c>
    </row>
    <row r="194" spans="2:20" ht="15.75">
      <c r="B194" s="67"/>
      <c r="C194" s="80"/>
      <c r="D194" s="70"/>
      <c r="E194" s="67"/>
      <c r="F194" s="67"/>
      <c r="G194" s="67"/>
      <c r="H194" s="67"/>
      <c r="I194" s="67"/>
      <c r="J194" s="213"/>
      <c r="K194" s="12"/>
      <c r="L194" s="76"/>
      <c r="M194" s="276" t="s">
        <v>298</v>
      </c>
      <c r="N194" s="84">
        <f t="shared" si="5"/>
        <v>4.6787192382593374E-05</v>
      </c>
      <c r="O194" s="84">
        <f t="shared" si="5"/>
        <v>4.455923084056513E-06</v>
      </c>
      <c r="P194" s="84">
        <f t="shared" si="5"/>
        <v>2.339359619129669E-06</v>
      </c>
      <c r="Q194" s="84">
        <f t="shared" si="5"/>
        <v>0</v>
      </c>
      <c r="R194" s="84">
        <f t="shared" si="5"/>
        <v>0</v>
      </c>
      <c r="S194" s="84">
        <f t="shared" si="5"/>
        <v>0</v>
      </c>
      <c r="T194" s="283">
        <f t="shared" si="5"/>
        <v>0.0004099449237331992</v>
      </c>
    </row>
    <row r="195" spans="2:20" ht="15.75">
      <c r="B195" s="80" t="s">
        <v>21</v>
      </c>
      <c r="C195" s="83" t="s">
        <v>297</v>
      </c>
      <c r="D195" s="70">
        <f>D185+SUM(D190:H190)</f>
        <v>5.819332035648413E-05</v>
      </c>
      <c r="E195" s="70"/>
      <c r="F195" s="70"/>
      <c r="G195" s="70"/>
      <c r="H195" s="70"/>
      <c r="I195" s="293" t="s">
        <v>396</v>
      </c>
      <c r="J195" s="104"/>
      <c r="L195" s="76"/>
      <c r="M195" s="276" t="s">
        <v>299</v>
      </c>
      <c r="N195" s="84">
        <f t="shared" si="5"/>
        <v>8.322514012966478E-05</v>
      </c>
      <c r="O195" s="84">
        <f t="shared" si="5"/>
        <v>7.926203821872837E-06</v>
      </c>
      <c r="P195" s="84">
        <f t="shared" si="5"/>
        <v>4.1612570064832395E-06</v>
      </c>
      <c r="Q195" s="84">
        <f t="shared" si="5"/>
        <v>0</v>
      </c>
      <c r="R195" s="84">
        <f t="shared" si="5"/>
        <v>0</v>
      </c>
      <c r="S195" s="84">
        <f t="shared" si="5"/>
        <v>0</v>
      </c>
      <c r="T195" s="283">
        <f t="shared" si="5"/>
        <v>0.0007292107516123011</v>
      </c>
    </row>
    <row r="196" spans="2:20" ht="15.75">
      <c r="B196" s="80"/>
      <c r="C196" s="83" t="s">
        <v>298</v>
      </c>
      <c r="D196" s="70">
        <f>D186+SUM(D191:H191)</f>
        <v>7.901643771948262E-06</v>
      </c>
      <c r="E196" s="70"/>
      <c r="F196" s="70"/>
      <c r="G196" s="70"/>
      <c r="H196" s="70"/>
      <c r="I196" s="293" t="s">
        <v>396</v>
      </c>
      <c r="J196" s="213"/>
      <c r="K196" s="12"/>
      <c r="L196" s="76"/>
      <c r="M196" s="276" t="s">
        <v>300</v>
      </c>
      <c r="N196" s="84">
        <f t="shared" si="5"/>
        <v>0.00012261986143567157</v>
      </c>
      <c r="O196" s="84">
        <f t="shared" si="5"/>
        <v>1.1678082041492534E-05</v>
      </c>
      <c r="P196" s="84">
        <f t="shared" si="5"/>
        <v>6.130993071783579E-06</v>
      </c>
      <c r="Q196" s="84">
        <f t="shared" si="5"/>
        <v>0</v>
      </c>
      <c r="R196" s="84">
        <f t="shared" si="5"/>
        <v>0</v>
      </c>
      <c r="S196" s="84">
        <f t="shared" si="5"/>
        <v>0</v>
      </c>
      <c r="T196" s="283">
        <f t="shared" si="5"/>
        <v>0.001074383547817313</v>
      </c>
    </row>
    <row r="197" spans="2:20" ht="15.75">
      <c r="B197" s="80"/>
      <c r="C197" s="83" t="s">
        <v>299</v>
      </c>
      <c r="D197" s="70">
        <f>D187+SUM(D192:H192)</f>
        <v>2.43100326522248E-05</v>
      </c>
      <c r="E197" s="70"/>
      <c r="F197" s="70"/>
      <c r="G197" s="70"/>
      <c r="H197" s="70"/>
      <c r="I197" s="293" t="s">
        <v>396</v>
      </c>
      <c r="J197" s="213"/>
      <c r="K197" s="12"/>
      <c r="L197" s="76"/>
      <c r="M197" s="276"/>
      <c r="N197" s="277"/>
      <c r="O197" s="277"/>
      <c r="P197" s="277"/>
      <c r="Q197" s="277"/>
      <c r="R197" s="281"/>
      <c r="S197" s="206"/>
      <c r="T197" s="278"/>
    </row>
    <row r="198" spans="2:20" ht="15.75">
      <c r="B198" s="80"/>
      <c r="C198" s="83" t="s">
        <v>300</v>
      </c>
      <c r="D198" s="70">
        <f>D188+SUM(D193:H193)</f>
        <v>3.235461613959755E-05</v>
      </c>
      <c r="E198" s="70"/>
      <c r="F198" s="70"/>
      <c r="G198" s="70"/>
      <c r="H198" s="70"/>
      <c r="I198" s="293" t="s">
        <v>396</v>
      </c>
      <c r="J198" s="213"/>
      <c r="K198" s="12"/>
      <c r="L198" s="76" t="s">
        <v>389</v>
      </c>
      <c r="M198" s="276" t="s">
        <v>297</v>
      </c>
      <c r="N198" s="84">
        <f aca="true" t="shared" si="6" ref="N198:T201">N173*N$167</f>
        <v>0</v>
      </c>
      <c r="O198" s="84">
        <f t="shared" si="6"/>
        <v>0</v>
      </c>
      <c r="P198" s="84">
        <f t="shared" si="6"/>
        <v>0</v>
      </c>
      <c r="Q198" s="84">
        <f t="shared" si="6"/>
        <v>0</v>
      </c>
      <c r="R198" s="84">
        <f t="shared" si="6"/>
        <v>0</v>
      </c>
      <c r="S198" s="84">
        <f t="shared" si="6"/>
        <v>0</v>
      </c>
      <c r="T198" s="283">
        <f t="shared" si="6"/>
        <v>0.0001375006373218865</v>
      </c>
    </row>
    <row r="199" spans="2:20" ht="15.75">
      <c r="B199" s="80"/>
      <c r="C199" s="80"/>
      <c r="D199" s="70"/>
      <c r="E199" s="67"/>
      <c r="F199" s="67"/>
      <c r="G199" s="67"/>
      <c r="H199" s="67"/>
      <c r="I199" s="293"/>
      <c r="J199" s="213"/>
      <c r="K199" s="12"/>
      <c r="L199" s="76"/>
      <c r="M199" s="276" t="s">
        <v>298</v>
      </c>
      <c r="N199" s="84">
        <f t="shared" si="6"/>
        <v>0</v>
      </c>
      <c r="O199" s="84">
        <f t="shared" si="6"/>
        <v>0</v>
      </c>
      <c r="P199" s="84">
        <f t="shared" si="6"/>
        <v>0</v>
      </c>
      <c r="Q199" s="84">
        <f t="shared" si="6"/>
        <v>0</v>
      </c>
      <c r="R199" s="84">
        <f t="shared" si="6"/>
        <v>0</v>
      </c>
      <c r="S199" s="84">
        <f t="shared" si="6"/>
        <v>0</v>
      </c>
      <c r="T199" s="283">
        <f t="shared" si="6"/>
        <v>2.589649933788651E-05</v>
      </c>
    </row>
    <row r="200" spans="2:20" ht="15.75">
      <c r="B200" s="75" t="s">
        <v>337</v>
      </c>
      <c r="C200" s="70">
        <f>SUM(D195:D198)</f>
        <v>0.00012275961292025473</v>
      </c>
      <c r="D200" s="67"/>
      <c r="E200" s="67"/>
      <c r="F200" s="67"/>
      <c r="G200" s="83"/>
      <c r="H200" s="83"/>
      <c r="I200" s="293" t="s">
        <v>370</v>
      </c>
      <c r="J200" s="213"/>
      <c r="K200" s="12"/>
      <c r="L200" s="76"/>
      <c r="M200" s="276" t="s">
        <v>299</v>
      </c>
      <c r="N200" s="84">
        <f t="shared" si="6"/>
        <v>0</v>
      </c>
      <c r="O200" s="84">
        <f t="shared" si="6"/>
        <v>0</v>
      </c>
      <c r="P200" s="84">
        <f t="shared" si="6"/>
        <v>0</v>
      </c>
      <c r="Q200" s="84">
        <f t="shared" si="6"/>
        <v>0</v>
      </c>
      <c r="R200" s="84">
        <f t="shared" si="6"/>
        <v>0</v>
      </c>
      <c r="S200" s="84">
        <f t="shared" si="6"/>
        <v>0</v>
      </c>
      <c r="T200" s="283">
        <f t="shared" si="6"/>
        <v>4.44971890018865E-05</v>
      </c>
    </row>
    <row r="201" spans="2:20" ht="15.75">
      <c r="B201" s="75" t="s">
        <v>293</v>
      </c>
      <c r="C201" s="72">
        <f>C200*310</f>
        <v>0.03805548000527897</v>
      </c>
      <c r="D201" s="67"/>
      <c r="E201" s="67"/>
      <c r="F201" s="67"/>
      <c r="G201" s="67"/>
      <c r="H201" s="67"/>
      <c r="I201" s="293" t="s">
        <v>179</v>
      </c>
      <c r="J201" s="213"/>
      <c r="K201" s="12"/>
      <c r="L201" s="76"/>
      <c r="M201" s="276" t="s">
        <v>300</v>
      </c>
      <c r="N201" s="84">
        <f t="shared" si="6"/>
        <v>0</v>
      </c>
      <c r="O201" s="84">
        <f t="shared" si="6"/>
        <v>0</v>
      </c>
      <c r="P201" s="84">
        <f t="shared" si="6"/>
        <v>0</v>
      </c>
      <c r="Q201" s="84">
        <f t="shared" si="6"/>
        <v>0</v>
      </c>
      <c r="R201" s="84">
        <f t="shared" si="6"/>
        <v>0</v>
      </c>
      <c r="S201" s="84">
        <f t="shared" si="6"/>
        <v>0</v>
      </c>
      <c r="T201" s="283">
        <f t="shared" si="6"/>
        <v>0.00011269971776988648</v>
      </c>
    </row>
    <row r="202" spans="2:20" ht="15.75">
      <c r="B202" s="67"/>
      <c r="C202" s="67"/>
      <c r="D202" s="67"/>
      <c r="E202" s="67"/>
      <c r="F202" s="67"/>
      <c r="G202" s="67"/>
      <c r="H202" s="67"/>
      <c r="I202" s="67"/>
      <c r="J202" s="213"/>
      <c r="K202" s="12"/>
      <c r="L202" s="76"/>
      <c r="M202" s="276"/>
      <c r="N202" s="68"/>
      <c r="O202" s="68"/>
      <c r="P202" s="68"/>
      <c r="Q202" s="68"/>
      <c r="R202" s="281"/>
      <c r="S202" s="68"/>
      <c r="T202" s="77"/>
    </row>
    <row r="203" spans="2:20" ht="15.75">
      <c r="B203" s="75" t="s">
        <v>212</v>
      </c>
      <c r="C203" s="67"/>
      <c r="D203" s="67"/>
      <c r="E203" s="67"/>
      <c r="F203" s="67"/>
      <c r="G203" s="67"/>
      <c r="H203" s="67"/>
      <c r="I203" s="67"/>
      <c r="J203" s="213"/>
      <c r="K203" s="12"/>
      <c r="L203" s="76" t="s">
        <v>390</v>
      </c>
      <c r="M203" s="276" t="s">
        <v>297</v>
      </c>
      <c r="N203" s="84">
        <f aca="true" t="shared" si="7" ref="N203:T206">N178*N$167</f>
        <v>0</v>
      </c>
      <c r="O203" s="84">
        <f t="shared" si="7"/>
        <v>0</v>
      </c>
      <c r="P203" s="84">
        <f t="shared" si="7"/>
        <v>0</v>
      </c>
      <c r="Q203" s="84">
        <f t="shared" si="7"/>
        <v>0</v>
      </c>
      <c r="R203" s="84">
        <f t="shared" si="7"/>
        <v>0</v>
      </c>
      <c r="S203" s="84">
        <f t="shared" si="7"/>
        <v>0</v>
      </c>
      <c r="T203" s="283">
        <f t="shared" si="7"/>
        <v>8.802266099025466E-05</v>
      </c>
    </row>
    <row r="204" spans="2:20" ht="15.75">
      <c r="B204" s="75" t="s">
        <v>258</v>
      </c>
      <c r="C204" s="75" t="s">
        <v>447</v>
      </c>
      <c r="D204" s="67"/>
      <c r="E204" s="67"/>
      <c r="F204" s="67"/>
      <c r="G204" s="67"/>
      <c r="H204" s="67"/>
      <c r="I204" s="67"/>
      <c r="J204" s="213" t="s">
        <v>407</v>
      </c>
      <c r="K204" s="12"/>
      <c r="L204" s="76"/>
      <c r="M204" s="276" t="s">
        <v>298</v>
      </c>
      <c r="N204" s="84">
        <f t="shared" si="7"/>
        <v>0</v>
      </c>
      <c r="O204" s="84">
        <f t="shared" si="7"/>
        <v>0</v>
      </c>
      <c r="P204" s="84">
        <f t="shared" si="7"/>
        <v>0</v>
      </c>
      <c r="Q204" s="84">
        <f t="shared" si="7"/>
        <v>0</v>
      </c>
      <c r="R204" s="84">
        <f t="shared" si="7"/>
        <v>0</v>
      </c>
      <c r="S204" s="84">
        <f t="shared" si="7"/>
        <v>0</v>
      </c>
      <c r="T204" s="283">
        <f t="shared" si="7"/>
        <v>9.872584574254656E-06</v>
      </c>
    </row>
    <row r="205" spans="2:20" ht="15.75">
      <c r="B205" s="67"/>
      <c r="C205" s="67" t="s">
        <v>259</v>
      </c>
      <c r="D205" s="67"/>
      <c r="E205" s="67"/>
      <c r="F205" s="67"/>
      <c r="G205" s="67"/>
      <c r="H205" s="67"/>
      <c r="I205" s="67" t="s">
        <v>206</v>
      </c>
      <c r="J205" s="213"/>
      <c r="K205" s="12"/>
      <c r="L205" s="76"/>
      <c r="M205" s="276" t="s">
        <v>299</v>
      </c>
      <c r="N205" s="84">
        <f t="shared" si="7"/>
        <v>0</v>
      </c>
      <c r="O205" s="84">
        <f t="shared" si="7"/>
        <v>0</v>
      </c>
      <c r="P205" s="84">
        <f t="shared" si="7"/>
        <v>0</v>
      </c>
      <c r="Q205" s="84">
        <f t="shared" si="7"/>
        <v>0</v>
      </c>
      <c r="R205" s="84">
        <f t="shared" si="7"/>
        <v>0</v>
      </c>
      <c r="S205" s="84">
        <f t="shared" si="7"/>
        <v>0</v>
      </c>
      <c r="T205" s="283">
        <f t="shared" si="7"/>
        <v>2.289759731025466E-05</v>
      </c>
    </row>
    <row r="206" spans="2:20" ht="15.75">
      <c r="B206" s="67"/>
      <c r="C206" s="67" t="s">
        <v>429</v>
      </c>
      <c r="D206" s="67" t="s">
        <v>430</v>
      </c>
      <c r="E206" s="67"/>
      <c r="F206" s="67"/>
      <c r="G206" s="67"/>
      <c r="H206" s="67"/>
      <c r="I206" s="67"/>
      <c r="J206" s="213" t="s">
        <v>432</v>
      </c>
      <c r="K206" s="12"/>
      <c r="L206" s="76"/>
      <c r="M206" s="276" t="s">
        <v>300</v>
      </c>
      <c r="N206" s="84">
        <f t="shared" si="7"/>
        <v>0</v>
      </c>
      <c r="O206" s="84">
        <f t="shared" si="7"/>
        <v>0</v>
      </c>
      <c r="P206" s="84">
        <f t="shared" si="7"/>
        <v>0</v>
      </c>
      <c r="Q206" s="84">
        <f t="shared" si="7"/>
        <v>0</v>
      </c>
      <c r="R206" s="84">
        <f t="shared" si="7"/>
        <v>0</v>
      </c>
      <c r="S206" s="84">
        <f t="shared" si="7"/>
        <v>0</v>
      </c>
      <c r="T206" s="283">
        <f t="shared" si="7"/>
        <v>7.065597734225465E-05</v>
      </c>
    </row>
    <row r="207" spans="2:20" ht="15.75">
      <c r="B207" s="67"/>
      <c r="C207" s="67" t="s">
        <v>431</v>
      </c>
      <c r="D207" s="293">
        <v>0.3</v>
      </c>
      <c r="E207" s="67"/>
      <c r="F207" s="67"/>
      <c r="G207" s="67"/>
      <c r="H207" s="67"/>
      <c r="I207" s="67" t="s">
        <v>247</v>
      </c>
      <c r="J207" s="213"/>
      <c r="K207" s="12"/>
      <c r="L207" s="76"/>
      <c r="M207" s="68"/>
      <c r="N207" s="68"/>
      <c r="O207" s="68"/>
      <c r="P207" s="68"/>
      <c r="Q207" s="68"/>
      <c r="R207" s="281"/>
      <c r="S207" s="68"/>
      <c r="T207" s="77"/>
    </row>
    <row r="208" spans="2:20" ht="15.75">
      <c r="B208" s="67"/>
      <c r="C208" s="67"/>
      <c r="D208" s="67"/>
      <c r="E208" s="67"/>
      <c r="F208" s="67"/>
      <c r="G208" s="67"/>
      <c r="H208" s="67"/>
      <c r="I208" s="67"/>
      <c r="J208" s="213"/>
      <c r="K208" s="12"/>
      <c r="L208" s="76" t="s">
        <v>391</v>
      </c>
      <c r="M208" s="276" t="s">
        <v>297</v>
      </c>
      <c r="N208" s="84">
        <f aca="true" t="shared" si="8" ref="N208:T211">N183*N$167</f>
        <v>0</v>
      </c>
      <c r="O208" s="84">
        <f t="shared" si="8"/>
        <v>0</v>
      </c>
      <c r="P208" s="84">
        <f t="shared" si="8"/>
        <v>0</v>
      </c>
      <c r="Q208" s="84">
        <f t="shared" si="8"/>
        <v>0</v>
      </c>
      <c r="R208" s="84">
        <f t="shared" si="8"/>
        <v>0</v>
      </c>
      <c r="S208" s="84">
        <f t="shared" si="8"/>
        <v>0</v>
      </c>
      <c r="T208" s="283">
        <f t="shared" si="8"/>
        <v>1.2826665590387742E-05</v>
      </c>
    </row>
    <row r="209" spans="2:20" ht="15.75">
      <c r="B209" s="67"/>
      <c r="C209" s="345" t="s">
        <v>297</v>
      </c>
      <c r="D209" s="346">
        <f>SUM(D22,D27)*1*0.3</f>
        <v>0.0021</v>
      </c>
      <c r="E209" s="347"/>
      <c r="F209" s="67"/>
      <c r="G209" s="67"/>
      <c r="H209" s="67"/>
      <c r="I209" s="67" t="s">
        <v>348</v>
      </c>
      <c r="J209" s="213"/>
      <c r="K209" s="12"/>
      <c r="L209" s="76"/>
      <c r="M209" s="276" t="s">
        <v>298</v>
      </c>
      <c r="N209" s="84">
        <f t="shared" si="8"/>
        <v>0</v>
      </c>
      <c r="O209" s="84">
        <f t="shared" si="8"/>
        <v>0</v>
      </c>
      <c r="P209" s="84">
        <f t="shared" si="8"/>
        <v>0</v>
      </c>
      <c r="Q209" s="84">
        <f t="shared" si="8"/>
        <v>0</v>
      </c>
      <c r="R209" s="84">
        <f t="shared" si="8"/>
        <v>0</v>
      </c>
      <c r="S209" s="84">
        <f t="shared" si="8"/>
        <v>0</v>
      </c>
      <c r="T209" s="283">
        <f t="shared" si="8"/>
        <v>3.5353936655877437E-06</v>
      </c>
    </row>
    <row r="210" spans="2:20" ht="15.75">
      <c r="B210" s="67"/>
      <c r="C210" s="348" t="s">
        <v>298</v>
      </c>
      <c r="D210" s="81">
        <f>SUM(D23,D28)*1*0.3</f>
        <v>0</v>
      </c>
      <c r="E210" s="349"/>
      <c r="F210" s="67"/>
      <c r="G210" s="67"/>
      <c r="H210" s="67"/>
      <c r="I210" s="67" t="s">
        <v>348</v>
      </c>
      <c r="J210" s="213"/>
      <c r="K210" s="12"/>
      <c r="L210" s="76"/>
      <c r="M210" s="276" t="s">
        <v>299</v>
      </c>
      <c r="N210" s="84">
        <f t="shared" si="8"/>
        <v>0</v>
      </c>
      <c r="O210" s="84">
        <f t="shared" si="8"/>
        <v>0</v>
      </c>
      <c r="P210" s="84">
        <f t="shared" si="8"/>
        <v>0</v>
      </c>
      <c r="Q210" s="84">
        <f t="shared" si="8"/>
        <v>0</v>
      </c>
      <c r="R210" s="84">
        <f t="shared" si="8"/>
        <v>0</v>
      </c>
      <c r="S210" s="84">
        <f t="shared" si="8"/>
        <v>0</v>
      </c>
      <c r="T210" s="283">
        <f t="shared" si="8"/>
        <v>5.083938986387744E-06</v>
      </c>
    </row>
    <row r="211" spans="2:20" ht="15.75">
      <c r="B211" s="67"/>
      <c r="C211" s="348" t="s">
        <v>299</v>
      </c>
      <c r="D211" s="81">
        <f>SUM(D24,D29)*1*0.3</f>
        <v>0.00195</v>
      </c>
      <c r="E211" s="349"/>
      <c r="F211" s="67"/>
      <c r="G211" s="67"/>
      <c r="H211" s="67"/>
      <c r="I211" s="67" t="s">
        <v>348</v>
      </c>
      <c r="J211" s="213"/>
      <c r="K211" s="12"/>
      <c r="L211" s="76"/>
      <c r="M211" s="276" t="s">
        <v>300</v>
      </c>
      <c r="N211" s="84">
        <f t="shared" si="8"/>
        <v>0</v>
      </c>
      <c r="O211" s="84">
        <f t="shared" si="8"/>
        <v>0</v>
      </c>
      <c r="P211" s="84">
        <f t="shared" si="8"/>
        <v>0</v>
      </c>
      <c r="Q211" s="84">
        <f t="shared" si="8"/>
        <v>0</v>
      </c>
      <c r="R211" s="84">
        <f t="shared" si="8"/>
        <v>0</v>
      </c>
      <c r="S211" s="84">
        <f t="shared" si="8"/>
        <v>0</v>
      </c>
      <c r="T211" s="283">
        <f t="shared" si="8"/>
        <v>1.0761938495987742E-05</v>
      </c>
    </row>
    <row r="212" spans="2:20" ht="15.75">
      <c r="B212" s="67"/>
      <c r="C212" s="350" t="s">
        <v>300</v>
      </c>
      <c r="D212" s="351">
        <f>SUM(D25,D30)*1*0.3</f>
        <v>0.00195</v>
      </c>
      <c r="E212" s="352"/>
      <c r="F212" s="67"/>
      <c r="G212" s="67"/>
      <c r="H212" s="67"/>
      <c r="I212" s="67" t="s">
        <v>348</v>
      </c>
      <c r="J212" s="213"/>
      <c r="K212" s="12"/>
      <c r="L212" s="76"/>
      <c r="M212" s="68"/>
      <c r="N212" s="68"/>
      <c r="O212" s="68"/>
      <c r="P212" s="68"/>
      <c r="Q212" s="68"/>
      <c r="R212" s="281"/>
      <c r="S212" s="68"/>
      <c r="T212" s="77"/>
    </row>
    <row r="213" spans="2:20" ht="15.75">
      <c r="B213" s="67"/>
      <c r="C213" s="67"/>
      <c r="D213" s="67"/>
      <c r="E213" s="67"/>
      <c r="F213" s="67"/>
      <c r="G213" s="67"/>
      <c r="H213" s="67"/>
      <c r="I213" s="67"/>
      <c r="J213" s="213"/>
      <c r="K213" s="12"/>
      <c r="L213" s="76" t="s">
        <v>392</v>
      </c>
      <c r="M213" s="276" t="s">
        <v>297</v>
      </c>
      <c r="N213" s="84">
        <f aca="true" t="shared" si="9" ref="N213:T216">N188*N$167</f>
        <v>0</v>
      </c>
      <c r="O213" s="84">
        <f t="shared" si="9"/>
        <v>0</v>
      </c>
      <c r="P213" s="84">
        <f t="shared" si="9"/>
        <v>0</v>
      </c>
      <c r="Q213" s="84">
        <f t="shared" si="9"/>
        <v>0</v>
      </c>
      <c r="R213" s="84">
        <f t="shared" si="9"/>
        <v>0</v>
      </c>
      <c r="S213" s="84">
        <f t="shared" si="9"/>
        <v>0</v>
      </c>
      <c r="T213" s="283">
        <f t="shared" si="9"/>
        <v>0</v>
      </c>
    </row>
    <row r="214" spans="2:20" ht="15.75">
      <c r="B214" s="75" t="s">
        <v>260</v>
      </c>
      <c r="C214" s="75" t="s">
        <v>263</v>
      </c>
      <c r="D214" s="67"/>
      <c r="E214" s="67"/>
      <c r="F214" s="67"/>
      <c r="G214" s="67"/>
      <c r="H214" s="67"/>
      <c r="I214" s="67" t="s">
        <v>348</v>
      </c>
      <c r="J214" s="213" t="s">
        <v>408</v>
      </c>
      <c r="K214" s="12"/>
      <c r="L214" s="76"/>
      <c r="M214" s="276" t="s">
        <v>298</v>
      </c>
      <c r="N214" s="84">
        <f t="shared" si="9"/>
        <v>0</v>
      </c>
      <c r="O214" s="84">
        <f t="shared" si="9"/>
        <v>0</v>
      </c>
      <c r="P214" s="84">
        <f t="shared" si="9"/>
        <v>0</v>
      </c>
      <c r="Q214" s="84">
        <f t="shared" si="9"/>
        <v>0</v>
      </c>
      <c r="R214" s="84">
        <f t="shared" si="9"/>
        <v>0</v>
      </c>
      <c r="S214" s="84">
        <f t="shared" si="9"/>
        <v>0</v>
      </c>
      <c r="T214" s="283">
        <f t="shared" si="9"/>
        <v>0</v>
      </c>
    </row>
    <row r="215" spans="2:20" ht="15.75">
      <c r="B215" s="67"/>
      <c r="C215" s="67" t="s">
        <v>448</v>
      </c>
      <c r="D215" s="67"/>
      <c r="E215" s="67"/>
      <c r="F215" s="67"/>
      <c r="G215" s="67"/>
      <c r="H215" s="67"/>
      <c r="I215" s="67" t="s">
        <v>348</v>
      </c>
      <c r="J215" s="213"/>
      <c r="K215" s="12"/>
      <c r="L215" s="76"/>
      <c r="M215" s="276" t="s">
        <v>299</v>
      </c>
      <c r="N215" s="84">
        <f t="shared" si="9"/>
        <v>0</v>
      </c>
      <c r="O215" s="84">
        <f t="shared" si="9"/>
        <v>0</v>
      </c>
      <c r="P215" s="84">
        <f t="shared" si="9"/>
        <v>0</v>
      </c>
      <c r="Q215" s="84">
        <f t="shared" si="9"/>
        <v>0</v>
      </c>
      <c r="R215" s="84">
        <f t="shared" si="9"/>
        <v>0</v>
      </c>
      <c r="S215" s="84">
        <f t="shared" si="9"/>
        <v>0</v>
      </c>
      <c r="T215" s="283">
        <f t="shared" si="9"/>
        <v>0</v>
      </c>
    </row>
    <row r="216" spans="2:20" ht="15.75">
      <c r="B216" s="67"/>
      <c r="C216" s="67" t="s">
        <v>449</v>
      </c>
      <c r="D216" s="67"/>
      <c r="E216" s="67"/>
      <c r="F216" s="67"/>
      <c r="G216" s="67"/>
      <c r="H216" s="67"/>
      <c r="I216" s="67" t="s">
        <v>348</v>
      </c>
      <c r="J216" s="213"/>
      <c r="K216" s="12"/>
      <c r="L216" s="76"/>
      <c r="M216" s="276" t="s">
        <v>300</v>
      </c>
      <c r="N216" s="84">
        <f t="shared" si="9"/>
        <v>0</v>
      </c>
      <c r="O216" s="84">
        <f t="shared" si="9"/>
        <v>0</v>
      </c>
      <c r="P216" s="84">
        <f t="shared" si="9"/>
        <v>0</v>
      </c>
      <c r="Q216" s="84">
        <f t="shared" si="9"/>
        <v>0</v>
      </c>
      <c r="R216" s="84">
        <f t="shared" si="9"/>
        <v>0</v>
      </c>
      <c r="S216" s="84">
        <f t="shared" si="9"/>
        <v>0</v>
      </c>
      <c r="T216" s="283">
        <f t="shared" si="9"/>
        <v>0</v>
      </c>
    </row>
    <row r="217" spans="2:20" ht="15.75">
      <c r="B217" s="67"/>
      <c r="C217" s="67" t="s">
        <v>450</v>
      </c>
      <c r="D217" s="67"/>
      <c r="E217" s="67"/>
      <c r="F217" s="67"/>
      <c r="G217" s="67"/>
      <c r="H217" s="67"/>
      <c r="I217" s="67" t="s">
        <v>348</v>
      </c>
      <c r="J217" s="213"/>
      <c r="K217" s="12"/>
      <c r="L217" s="76"/>
      <c r="M217" s="68"/>
      <c r="N217" s="68"/>
      <c r="O217" s="68"/>
      <c r="P217" s="68"/>
      <c r="Q217" s="68"/>
      <c r="R217" s="68"/>
      <c r="S217" s="68"/>
      <c r="T217" s="77"/>
    </row>
    <row r="218" spans="2:20" ht="15.75">
      <c r="B218" s="67"/>
      <c r="C218" s="67"/>
      <c r="D218" s="67"/>
      <c r="E218" s="67"/>
      <c r="F218" s="67"/>
      <c r="G218" s="67"/>
      <c r="H218" s="67"/>
      <c r="I218" s="67"/>
      <c r="J218" s="213"/>
      <c r="K218" s="12"/>
      <c r="L218" s="284"/>
      <c r="M218" s="80"/>
      <c r="N218" s="68"/>
      <c r="O218" s="68"/>
      <c r="P218" s="68"/>
      <c r="Q218" s="68"/>
      <c r="R218" s="68"/>
      <c r="S218" s="68"/>
      <c r="T218" s="77"/>
    </row>
    <row r="219" spans="2:20" ht="16.5" thickBot="1">
      <c r="B219" s="67"/>
      <c r="C219" s="83" t="s">
        <v>297</v>
      </c>
      <c r="D219" s="73">
        <f aca="true" t="shared" si="10" ref="D219:H222">SUM(D73,D129,D122)*1*0.3</f>
        <v>0.003890680173757363</v>
      </c>
      <c r="E219" s="73">
        <f t="shared" si="10"/>
        <v>0.00018975087950420336</v>
      </c>
      <c r="F219" s="73">
        <f t="shared" si="10"/>
        <v>0.00012147127216655142</v>
      </c>
      <c r="G219" s="73">
        <f t="shared" si="10"/>
        <v>1.7700798514735088E-05</v>
      </c>
      <c r="H219" s="73">
        <f t="shared" si="10"/>
        <v>0</v>
      </c>
      <c r="I219" s="67" t="s">
        <v>348</v>
      </c>
      <c r="J219" s="213"/>
      <c r="K219" s="12"/>
      <c r="L219" s="285"/>
      <c r="M219" s="82"/>
      <c r="N219" s="82"/>
      <c r="O219" s="82"/>
      <c r="P219" s="82"/>
      <c r="Q219" s="82"/>
      <c r="R219" s="82"/>
      <c r="S219" s="82"/>
      <c r="T219" s="78"/>
    </row>
    <row r="220" spans="2:11" ht="15.75">
      <c r="B220" s="67"/>
      <c r="C220" s="83" t="s">
        <v>298</v>
      </c>
      <c r="D220" s="73">
        <f t="shared" si="10"/>
        <v>0.0006522702748326734</v>
      </c>
      <c r="E220" s="73">
        <f t="shared" si="10"/>
        <v>3.5737169086283386E-05</v>
      </c>
      <c r="F220" s="73">
        <f t="shared" si="10"/>
        <v>1.3624166712471426E-05</v>
      </c>
      <c r="G220" s="73">
        <f t="shared" si="10"/>
        <v>4.878843258511087E-06</v>
      </c>
      <c r="H220" s="73">
        <f t="shared" si="10"/>
        <v>0</v>
      </c>
      <c r="I220" s="67" t="s">
        <v>348</v>
      </c>
      <c r="J220" s="213"/>
      <c r="K220" s="12"/>
    </row>
    <row r="221" spans="2:11" ht="15.75">
      <c r="B221" s="67"/>
      <c r="C221" s="83" t="s">
        <v>299</v>
      </c>
      <c r="D221" s="73">
        <f t="shared" si="10"/>
        <v>0.0011602595125062558</v>
      </c>
      <c r="E221" s="73">
        <f t="shared" si="10"/>
        <v>6.140612082260337E-05</v>
      </c>
      <c r="F221" s="73">
        <f t="shared" si="10"/>
        <v>3.159868428815143E-05</v>
      </c>
      <c r="G221" s="73">
        <f t="shared" si="10"/>
        <v>7.015835801215087E-06</v>
      </c>
      <c r="H221" s="73">
        <f t="shared" si="10"/>
        <v>0</v>
      </c>
      <c r="I221" s="67" t="s">
        <v>348</v>
      </c>
      <c r="J221" s="213"/>
      <c r="K221" s="12"/>
    </row>
    <row r="222" spans="2:11" ht="15.75">
      <c r="B222" s="67"/>
      <c r="C222" s="83" t="s">
        <v>300</v>
      </c>
      <c r="D222" s="73">
        <f t="shared" si="10"/>
        <v>0.001709469763959291</v>
      </c>
      <c r="E222" s="73">
        <f t="shared" si="10"/>
        <v>0.00015552561052244334</v>
      </c>
      <c r="F222" s="73">
        <f t="shared" si="10"/>
        <v>9.750524873231141E-05</v>
      </c>
      <c r="G222" s="73">
        <f t="shared" si="10"/>
        <v>1.4851475124463082E-05</v>
      </c>
      <c r="H222" s="73">
        <f t="shared" si="10"/>
        <v>0</v>
      </c>
      <c r="I222" s="67" t="s">
        <v>348</v>
      </c>
      <c r="J222" s="213"/>
      <c r="K222" s="12"/>
    </row>
    <row r="223" spans="2:11" ht="15.75">
      <c r="B223" s="67"/>
      <c r="C223" s="67"/>
      <c r="D223" s="70"/>
      <c r="E223" s="67"/>
      <c r="F223" s="67"/>
      <c r="G223" s="67"/>
      <c r="H223" s="67"/>
      <c r="I223" s="67"/>
      <c r="J223" s="213"/>
      <c r="K223" s="12"/>
    </row>
    <row r="224" spans="2:11" ht="15.75">
      <c r="B224" s="67"/>
      <c r="C224" s="67"/>
      <c r="D224" s="67"/>
      <c r="E224" s="67"/>
      <c r="F224" s="67"/>
      <c r="G224" s="67"/>
      <c r="H224" s="67"/>
      <c r="I224" s="67"/>
      <c r="J224" s="213"/>
      <c r="K224" s="12"/>
    </row>
    <row r="225" spans="2:11" ht="15.75">
      <c r="B225" s="75" t="s">
        <v>452</v>
      </c>
      <c r="C225" s="75" t="s">
        <v>229</v>
      </c>
      <c r="D225" s="67"/>
      <c r="E225" s="67"/>
      <c r="F225" s="67"/>
      <c r="G225" s="67"/>
      <c r="H225" s="67"/>
      <c r="I225" s="67"/>
      <c r="J225" s="213" t="s">
        <v>409</v>
      </c>
      <c r="K225" s="12"/>
    </row>
    <row r="226" spans="2:11" ht="15.75">
      <c r="B226" s="67"/>
      <c r="C226" s="67" t="s">
        <v>451</v>
      </c>
      <c r="D226" s="67"/>
      <c r="E226" s="67"/>
      <c r="F226" s="67"/>
      <c r="G226" s="67"/>
      <c r="H226" s="67"/>
      <c r="I226" s="67" t="s">
        <v>206</v>
      </c>
      <c r="J226" s="213"/>
      <c r="K226" s="12"/>
    </row>
    <row r="227" spans="2:11" ht="15.75">
      <c r="B227" s="67"/>
      <c r="C227" s="67" t="s">
        <v>264</v>
      </c>
      <c r="D227" s="67"/>
      <c r="E227" s="67"/>
      <c r="F227" s="67"/>
      <c r="G227" s="67"/>
      <c r="H227" s="67"/>
      <c r="I227" s="67" t="s">
        <v>233</v>
      </c>
      <c r="J227" s="213"/>
      <c r="K227" s="12"/>
    </row>
    <row r="228" spans="2:11" ht="15.75">
      <c r="B228" s="67"/>
      <c r="C228" s="67"/>
      <c r="D228" s="67"/>
      <c r="E228" s="67"/>
      <c r="F228" s="67"/>
      <c r="G228" s="67"/>
      <c r="H228" s="67"/>
      <c r="I228" s="67"/>
      <c r="J228" s="213"/>
      <c r="K228" s="12"/>
    </row>
    <row r="229" spans="2:11" ht="15.75">
      <c r="B229" s="67" t="s">
        <v>66</v>
      </c>
      <c r="C229" s="345" t="s">
        <v>297</v>
      </c>
      <c r="D229" s="346">
        <f>D209*0.0125*$C$15</f>
        <v>4.125E-05</v>
      </c>
      <c r="E229" s="347"/>
      <c r="F229" s="67"/>
      <c r="G229" s="67"/>
      <c r="H229" s="67"/>
      <c r="I229" s="67" t="s">
        <v>396</v>
      </c>
      <c r="J229" s="213"/>
      <c r="K229" s="12"/>
    </row>
    <row r="230" spans="2:11" ht="15.75">
      <c r="B230" s="67"/>
      <c r="C230" s="348" t="s">
        <v>298</v>
      </c>
      <c r="D230" s="81">
        <f>D210*0.0125*$C$15</f>
        <v>0</v>
      </c>
      <c r="E230" s="349"/>
      <c r="F230" s="67"/>
      <c r="G230" s="67"/>
      <c r="H230" s="67"/>
      <c r="I230" s="67" t="s">
        <v>396</v>
      </c>
      <c r="J230" s="213"/>
      <c r="K230" s="12"/>
    </row>
    <row r="231" spans="2:11" ht="15.75">
      <c r="B231" s="67"/>
      <c r="C231" s="348" t="s">
        <v>299</v>
      </c>
      <c r="D231" s="81">
        <f>D211*0.0125*$C$15</f>
        <v>3.830357142857143E-05</v>
      </c>
      <c r="E231" s="349"/>
      <c r="F231" s="67"/>
      <c r="G231" s="67"/>
      <c r="H231" s="67"/>
      <c r="I231" s="67" t="s">
        <v>396</v>
      </c>
      <c r="J231" s="213"/>
      <c r="K231" s="12"/>
    </row>
    <row r="232" spans="2:11" ht="15.75">
      <c r="B232" s="67"/>
      <c r="C232" s="350" t="s">
        <v>300</v>
      </c>
      <c r="D232" s="351">
        <f>D212*0.0125*$C$15</f>
        <v>3.830357142857143E-05</v>
      </c>
      <c r="E232" s="352"/>
      <c r="F232" s="67"/>
      <c r="G232" s="67"/>
      <c r="H232" s="67"/>
      <c r="I232" s="67" t="s">
        <v>396</v>
      </c>
      <c r="J232" s="213"/>
      <c r="K232" s="12"/>
    </row>
    <row r="233" spans="2:11" ht="15.75">
      <c r="B233" s="67"/>
      <c r="C233" s="67"/>
      <c r="D233" s="67"/>
      <c r="E233" s="67"/>
      <c r="F233" s="67"/>
      <c r="G233" s="67"/>
      <c r="H233" s="67"/>
      <c r="I233" s="67"/>
      <c r="J233" s="213"/>
      <c r="K233" s="12"/>
    </row>
    <row r="234" spans="2:11" ht="15.75">
      <c r="B234" s="67" t="s">
        <v>67</v>
      </c>
      <c r="C234" s="83" t="s">
        <v>297</v>
      </c>
      <c r="D234" s="70">
        <f aca="true" t="shared" si="11" ref="D234:H237">D219*0.0125*$C$15</f>
        <v>7.642407484166249E-05</v>
      </c>
      <c r="E234" s="70">
        <f t="shared" si="11"/>
        <v>3.727249418832566E-06</v>
      </c>
      <c r="F234" s="70">
        <f t="shared" si="11"/>
        <v>2.3860428461286888E-06</v>
      </c>
      <c r="G234" s="70">
        <f t="shared" si="11"/>
        <v>3.476942565394392E-07</v>
      </c>
      <c r="H234" s="70">
        <f t="shared" si="11"/>
        <v>0</v>
      </c>
      <c r="I234" s="67" t="s">
        <v>396</v>
      </c>
      <c r="J234" s="213"/>
      <c r="K234" s="12"/>
    </row>
    <row r="235" spans="2:11" ht="15.75">
      <c r="B235" s="67"/>
      <c r="C235" s="83" t="s">
        <v>298</v>
      </c>
      <c r="D235" s="70">
        <f t="shared" si="11"/>
        <v>1.2812451827070369E-05</v>
      </c>
      <c r="E235" s="70">
        <f t="shared" si="11"/>
        <v>7.019801070519952E-07</v>
      </c>
      <c r="F235" s="70">
        <f t="shared" si="11"/>
        <v>2.676175604235459E-07</v>
      </c>
      <c r="G235" s="70">
        <f t="shared" si="11"/>
        <v>9.583442114932492E-08</v>
      </c>
      <c r="H235" s="70">
        <f t="shared" si="11"/>
        <v>0</v>
      </c>
      <c r="I235" s="67" t="s">
        <v>396</v>
      </c>
      <c r="J235" s="213"/>
      <c r="K235" s="12"/>
    </row>
    <row r="236" spans="2:11" ht="15.75">
      <c r="B236" s="67"/>
      <c r="C236" s="83" t="s">
        <v>299</v>
      </c>
      <c r="D236" s="70">
        <f t="shared" si="11"/>
        <v>2.2790811852801454E-05</v>
      </c>
      <c r="E236" s="70">
        <f t="shared" si="11"/>
        <v>1.2061916590154235E-06</v>
      </c>
      <c r="F236" s="70">
        <f t="shared" si="11"/>
        <v>6.206884413744031E-07</v>
      </c>
      <c r="G236" s="70">
        <f t="shared" si="11"/>
        <v>1.3781106038101063E-07</v>
      </c>
      <c r="H236" s="70">
        <f t="shared" si="11"/>
        <v>0</v>
      </c>
      <c r="I236" s="67" t="s">
        <v>396</v>
      </c>
      <c r="J236" s="213"/>
      <c r="K236" s="12"/>
    </row>
    <row r="237" spans="2:11" ht="15.75">
      <c r="B237" s="67"/>
      <c r="C237" s="83" t="s">
        <v>300</v>
      </c>
      <c r="D237" s="70">
        <f t="shared" si="11"/>
        <v>3.357887036348607E-05</v>
      </c>
      <c r="E237" s="70">
        <f t="shared" si="11"/>
        <v>3.0549673495479943E-06</v>
      </c>
      <c r="F237" s="70">
        <f t="shared" si="11"/>
        <v>1.9152816715275455E-06</v>
      </c>
      <c r="G237" s="70">
        <f t="shared" si="11"/>
        <v>2.9172540423052487E-07</v>
      </c>
      <c r="H237" s="70">
        <f t="shared" si="11"/>
        <v>0</v>
      </c>
      <c r="I237" s="67" t="s">
        <v>396</v>
      </c>
      <c r="J237" s="213"/>
      <c r="K237" s="12"/>
    </row>
    <row r="238" spans="2:11" ht="15.75">
      <c r="B238" s="67"/>
      <c r="C238" s="83"/>
      <c r="D238" s="70"/>
      <c r="E238" s="70"/>
      <c r="F238" s="70"/>
      <c r="G238" s="70"/>
      <c r="H238" s="70"/>
      <c r="I238" s="67"/>
      <c r="J238" s="213"/>
      <c r="K238" s="12"/>
    </row>
    <row r="239" spans="2:11" ht="15.75">
      <c r="B239" s="75" t="s">
        <v>21</v>
      </c>
      <c r="C239" s="345" t="s">
        <v>297</v>
      </c>
      <c r="D239" s="346">
        <f>D229+SUM(D234:H234)</f>
        <v>0.00012413506136316318</v>
      </c>
      <c r="E239" s="353"/>
      <c r="F239" s="70"/>
      <c r="G239" s="70"/>
      <c r="H239" s="70"/>
      <c r="I239" s="67" t="s">
        <v>396</v>
      </c>
      <c r="J239" s="213"/>
      <c r="K239" s="12"/>
    </row>
    <row r="240" spans="2:11" ht="15.75">
      <c r="B240" s="67"/>
      <c r="C240" s="348" t="s">
        <v>298</v>
      </c>
      <c r="D240" s="81">
        <f>D230+SUM(D235:H235)</f>
        <v>1.3877883915695234E-05</v>
      </c>
      <c r="E240" s="354"/>
      <c r="F240" s="70"/>
      <c r="G240" s="70"/>
      <c r="H240" s="70"/>
      <c r="I240" s="67" t="s">
        <v>396</v>
      </c>
      <c r="J240" s="213"/>
      <c r="K240" s="12"/>
    </row>
    <row r="241" spans="2:11" ht="15.75">
      <c r="B241" s="67"/>
      <c r="C241" s="348" t="s">
        <v>299</v>
      </c>
      <c r="D241" s="81">
        <f>D231+SUM(D236:H236)</f>
        <v>6.305907444214371E-05</v>
      </c>
      <c r="E241" s="354"/>
      <c r="F241" s="70"/>
      <c r="G241" s="70"/>
      <c r="H241" s="70"/>
      <c r="I241" s="67" t="s">
        <v>396</v>
      </c>
      <c r="J241" s="213"/>
      <c r="K241" s="12"/>
    </row>
    <row r="242" spans="2:11" ht="15.75">
      <c r="B242" s="67"/>
      <c r="C242" s="350" t="s">
        <v>300</v>
      </c>
      <c r="D242" s="351">
        <f>D232+SUM(D237:H237)</f>
        <v>7.714441621736357E-05</v>
      </c>
      <c r="E242" s="355"/>
      <c r="F242" s="70"/>
      <c r="G242" s="70"/>
      <c r="H242" s="70"/>
      <c r="I242" s="67" t="s">
        <v>396</v>
      </c>
      <c r="J242" s="213"/>
      <c r="K242" s="12"/>
    </row>
    <row r="243" spans="2:11" ht="15.75">
      <c r="B243" s="67"/>
      <c r="C243" s="83"/>
      <c r="D243" s="70"/>
      <c r="E243" s="70"/>
      <c r="F243" s="70"/>
      <c r="G243" s="70"/>
      <c r="H243" s="70"/>
      <c r="I243" s="67"/>
      <c r="J243" s="213"/>
      <c r="K243" s="12"/>
    </row>
    <row r="244" spans="2:11" ht="15.75">
      <c r="B244" s="75" t="s">
        <v>337</v>
      </c>
      <c r="C244" s="290">
        <f>SUM(D239:D242)</f>
        <v>0.00027821643593836567</v>
      </c>
      <c r="D244" s="70"/>
      <c r="E244" s="70"/>
      <c r="F244" s="70"/>
      <c r="G244" s="70"/>
      <c r="H244" s="70"/>
      <c r="I244" s="67" t="s">
        <v>370</v>
      </c>
      <c r="J244" s="213"/>
      <c r="K244" s="12"/>
    </row>
    <row r="245" spans="2:11" ht="15.75">
      <c r="B245" s="75" t="s">
        <v>294</v>
      </c>
      <c r="C245" s="72">
        <f>C244*310</f>
        <v>0.08624709514089336</v>
      </c>
      <c r="D245" s="69"/>
      <c r="E245" s="67"/>
      <c r="F245" s="67"/>
      <c r="G245" s="67"/>
      <c r="H245" s="67"/>
      <c r="I245" s="67" t="s">
        <v>179</v>
      </c>
      <c r="J245" s="213"/>
      <c r="K245" s="12"/>
    </row>
    <row r="246" spans="2:11" ht="15.75">
      <c r="B246" s="75"/>
      <c r="C246" s="72"/>
      <c r="D246" s="69"/>
      <c r="E246" s="67"/>
      <c r="F246" s="67"/>
      <c r="G246" s="67"/>
      <c r="H246" s="67"/>
      <c r="I246" s="67"/>
      <c r="J246" s="213"/>
      <c r="K246" s="12"/>
    </row>
    <row r="247" spans="2:11" ht="15.75">
      <c r="B247" s="67"/>
      <c r="C247" s="67"/>
      <c r="D247" s="67"/>
      <c r="E247" s="67"/>
      <c r="F247" s="67"/>
      <c r="G247" s="67"/>
      <c r="H247" s="67"/>
      <c r="I247" s="67"/>
      <c r="J247" s="213"/>
      <c r="K247" s="12"/>
    </row>
    <row r="248" spans="2:11" ht="15.75">
      <c r="B248" s="80" t="s">
        <v>295</v>
      </c>
      <c r="C248" s="96">
        <f>C201+C245</f>
        <v>0.12430257514617232</v>
      </c>
      <c r="D248" s="68"/>
      <c r="E248" s="68"/>
      <c r="F248" s="68"/>
      <c r="G248" s="68"/>
      <c r="H248" s="68"/>
      <c r="I248" s="68" t="s">
        <v>179</v>
      </c>
      <c r="J248" s="294"/>
      <c r="K248" s="12"/>
    </row>
    <row r="249" spans="2:11" ht="15.75">
      <c r="B249" s="260" t="s">
        <v>295</v>
      </c>
      <c r="C249" s="341">
        <f>C248*10^3</f>
        <v>124.30257514617232</v>
      </c>
      <c r="D249" s="340"/>
      <c r="E249" s="340"/>
      <c r="F249" s="340"/>
      <c r="G249" s="340"/>
      <c r="H249" s="340"/>
      <c r="I249" s="340" t="s">
        <v>313</v>
      </c>
      <c r="J249" s="342"/>
      <c r="K249" s="12"/>
    </row>
    <row r="252" ht="15.75">
      <c r="D252" s="183"/>
    </row>
    <row r="253" ht="15.75">
      <c r="D253" s="183"/>
    </row>
    <row r="254" ht="15.75">
      <c r="D254" s="183"/>
    </row>
  </sheetData>
  <sheetProtection sheet="1"/>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G32"/>
  <sheetViews>
    <sheetView showGridLines="0" zoomScale="80" zoomScaleNormal="80" zoomScalePageLayoutView="0" workbookViewId="0" topLeftCell="A1">
      <selection activeCell="A1" sqref="A1"/>
    </sheetView>
  </sheetViews>
  <sheetFormatPr defaultColWidth="8.8515625" defaultRowHeight="22.5" customHeight="1"/>
  <cols>
    <col min="1" max="1" width="1.7109375" style="15" customWidth="1"/>
    <col min="2" max="2" width="36.57421875" style="15" bestFit="1" customWidth="1"/>
    <col min="3" max="27" width="10.7109375" style="15" customWidth="1"/>
    <col min="28" max="28" width="10.57421875" style="15" customWidth="1"/>
    <col min="29" max="33" width="10.7109375" style="15" customWidth="1"/>
    <col min="34" max="16384" width="8.8515625" style="15" customWidth="1"/>
  </cols>
  <sheetData>
    <row r="1" spans="1:2" ht="22.5" customHeight="1">
      <c r="A1" s="295" t="s">
        <v>102</v>
      </c>
      <c r="B1" s="296"/>
    </row>
    <row r="2" spans="1:2" ht="14.25" customHeight="1">
      <c r="A2" s="295"/>
      <c r="B2" s="296"/>
    </row>
    <row r="3" spans="2:33" ht="15.75">
      <c r="B3" s="309" t="s">
        <v>103</v>
      </c>
      <c r="C3" s="309">
        <v>0</v>
      </c>
      <c r="D3" s="309">
        <f>C3+1</f>
        <v>1</v>
      </c>
      <c r="E3" s="309">
        <f aca="true" t="shared" si="0" ref="E3:AG3">D3+1</f>
        <v>2</v>
      </c>
      <c r="F3" s="309">
        <f t="shared" si="0"/>
        <v>3</v>
      </c>
      <c r="G3" s="309">
        <f t="shared" si="0"/>
        <v>4</v>
      </c>
      <c r="H3" s="309">
        <f t="shared" si="0"/>
        <v>5</v>
      </c>
      <c r="I3" s="309">
        <f t="shared" si="0"/>
        <v>6</v>
      </c>
      <c r="J3" s="309">
        <f t="shared" si="0"/>
        <v>7</v>
      </c>
      <c r="K3" s="309">
        <f t="shared" si="0"/>
        <v>8</v>
      </c>
      <c r="L3" s="309">
        <f t="shared" si="0"/>
        <v>9</v>
      </c>
      <c r="M3" s="309">
        <f t="shared" si="0"/>
        <v>10</v>
      </c>
      <c r="N3" s="309">
        <f t="shared" si="0"/>
        <v>11</v>
      </c>
      <c r="O3" s="309">
        <f t="shared" si="0"/>
        <v>12</v>
      </c>
      <c r="P3" s="309">
        <f t="shared" si="0"/>
        <v>13</v>
      </c>
      <c r="Q3" s="309">
        <f t="shared" si="0"/>
        <v>14</v>
      </c>
      <c r="R3" s="309">
        <f t="shared" si="0"/>
        <v>15</v>
      </c>
      <c r="S3" s="309">
        <f t="shared" si="0"/>
        <v>16</v>
      </c>
      <c r="T3" s="309">
        <f t="shared" si="0"/>
        <v>17</v>
      </c>
      <c r="U3" s="309">
        <f t="shared" si="0"/>
        <v>18</v>
      </c>
      <c r="V3" s="309">
        <f t="shared" si="0"/>
        <v>19</v>
      </c>
      <c r="W3" s="309">
        <f t="shared" si="0"/>
        <v>20</v>
      </c>
      <c r="X3" s="309">
        <f t="shared" si="0"/>
        <v>21</v>
      </c>
      <c r="Y3" s="309">
        <f t="shared" si="0"/>
        <v>22</v>
      </c>
      <c r="Z3" s="309">
        <f t="shared" si="0"/>
        <v>23</v>
      </c>
      <c r="AA3" s="309">
        <f t="shared" si="0"/>
        <v>24</v>
      </c>
      <c r="AB3" s="309">
        <f t="shared" si="0"/>
        <v>25</v>
      </c>
      <c r="AC3" s="309">
        <f t="shared" si="0"/>
        <v>26</v>
      </c>
      <c r="AD3" s="309">
        <f t="shared" si="0"/>
        <v>27</v>
      </c>
      <c r="AE3" s="309">
        <f t="shared" si="0"/>
        <v>28</v>
      </c>
      <c r="AF3" s="309">
        <f t="shared" si="0"/>
        <v>29</v>
      </c>
      <c r="AG3" s="309">
        <f t="shared" si="0"/>
        <v>30</v>
      </c>
    </row>
    <row r="4" spans="2:33" ht="15.75">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row>
    <row r="5" spans="2:33" ht="15.75">
      <c r="B5" s="298" t="s">
        <v>97</v>
      </c>
      <c r="C5" s="298">
        <v>0</v>
      </c>
      <c r="D5" s="298">
        <v>2</v>
      </c>
      <c r="E5" s="298">
        <v>5</v>
      </c>
      <c r="F5" s="298">
        <v>19</v>
      </c>
      <c r="G5" s="298">
        <v>41</v>
      </c>
      <c r="H5" s="298">
        <v>68</v>
      </c>
      <c r="I5" s="298">
        <v>98</v>
      </c>
      <c r="J5" s="298">
        <v>128</v>
      </c>
      <c r="K5" s="298">
        <v>159</v>
      </c>
      <c r="L5" s="298">
        <v>188</v>
      </c>
      <c r="M5" s="298">
        <v>217</v>
      </c>
      <c r="N5" s="298">
        <v>244</v>
      </c>
      <c r="O5" s="298">
        <v>269</v>
      </c>
      <c r="P5" s="298">
        <v>293</v>
      </c>
      <c r="Q5" s="298">
        <v>316</v>
      </c>
      <c r="R5" s="298">
        <v>333</v>
      </c>
      <c r="S5" s="298">
        <v>356</v>
      </c>
      <c r="T5" s="298">
        <v>374</v>
      </c>
      <c r="U5" s="298">
        <v>391</v>
      </c>
      <c r="V5" s="298">
        <v>407</v>
      </c>
      <c r="W5" s="298">
        <v>422</v>
      </c>
      <c r="X5" s="298">
        <v>436</v>
      </c>
      <c r="Y5" s="298">
        <v>449</v>
      </c>
      <c r="Z5" s="298">
        <v>461</v>
      </c>
      <c r="AA5" s="298">
        <v>472</v>
      </c>
      <c r="AB5" s="298">
        <v>482</v>
      </c>
      <c r="AC5" s="298">
        <v>492</v>
      </c>
      <c r="AD5" s="298">
        <v>502</v>
      </c>
      <c r="AE5" s="298">
        <v>510</v>
      </c>
      <c r="AF5" s="298">
        <v>518</v>
      </c>
      <c r="AG5" s="298">
        <v>526</v>
      </c>
    </row>
    <row r="6" spans="2:33" ht="15.75">
      <c r="B6" s="298" t="s">
        <v>98</v>
      </c>
      <c r="C6" s="298">
        <v>0</v>
      </c>
      <c r="D6" s="298">
        <v>0</v>
      </c>
      <c r="E6" s="298">
        <v>1</v>
      </c>
      <c r="F6" s="298">
        <v>5</v>
      </c>
      <c r="G6" s="298">
        <v>16</v>
      </c>
      <c r="H6" s="298">
        <v>32</v>
      </c>
      <c r="I6" s="298">
        <v>52</v>
      </c>
      <c r="J6" s="298">
        <v>75</v>
      </c>
      <c r="K6" s="298">
        <v>98</v>
      </c>
      <c r="L6" s="298">
        <v>122</v>
      </c>
      <c r="M6" s="298">
        <v>146</v>
      </c>
      <c r="N6" s="298">
        <v>169</v>
      </c>
      <c r="O6" s="298">
        <v>191</v>
      </c>
      <c r="P6" s="298">
        <v>213</v>
      </c>
      <c r="Q6" s="298">
        <v>234</v>
      </c>
      <c r="R6" s="298">
        <v>254</v>
      </c>
      <c r="S6" s="298">
        <v>272</v>
      </c>
      <c r="T6" s="298">
        <v>290</v>
      </c>
      <c r="U6" s="298">
        <v>306</v>
      </c>
      <c r="V6" s="298">
        <v>322</v>
      </c>
      <c r="W6" s="298">
        <v>337</v>
      </c>
      <c r="X6" s="298">
        <v>351</v>
      </c>
      <c r="Y6" s="298">
        <v>364</v>
      </c>
      <c r="Z6" s="298">
        <v>377</v>
      </c>
      <c r="AA6" s="298">
        <v>388</v>
      </c>
      <c r="AB6" s="298">
        <v>399</v>
      </c>
      <c r="AC6" s="298">
        <v>410</v>
      </c>
      <c r="AD6" s="298">
        <v>420</v>
      </c>
      <c r="AE6" s="298">
        <v>430</v>
      </c>
      <c r="AF6" s="298">
        <v>439</v>
      </c>
      <c r="AG6" s="298">
        <v>447</v>
      </c>
    </row>
    <row r="7" spans="2:33" ht="15.75">
      <c r="B7" s="298" t="s">
        <v>99</v>
      </c>
      <c r="C7" s="298">
        <v>0</v>
      </c>
      <c r="D7" s="298">
        <v>0</v>
      </c>
      <c r="E7" s="298">
        <v>1</v>
      </c>
      <c r="F7" s="298">
        <v>5</v>
      </c>
      <c r="G7" s="298">
        <v>10</v>
      </c>
      <c r="H7" s="298">
        <v>19</v>
      </c>
      <c r="I7" s="298">
        <v>29</v>
      </c>
      <c r="J7" s="298">
        <v>41</v>
      </c>
      <c r="K7" s="298">
        <v>54</v>
      </c>
      <c r="L7" s="298">
        <v>68</v>
      </c>
      <c r="M7" s="298">
        <v>83</v>
      </c>
      <c r="N7" s="298">
        <v>99</v>
      </c>
      <c r="O7" s="298">
        <v>115</v>
      </c>
      <c r="P7" s="298">
        <v>131</v>
      </c>
      <c r="Q7" s="298">
        <v>147</v>
      </c>
      <c r="R7" s="298">
        <v>163</v>
      </c>
      <c r="S7" s="298">
        <v>179</v>
      </c>
      <c r="T7" s="298">
        <v>196</v>
      </c>
      <c r="U7" s="298">
        <v>211</v>
      </c>
      <c r="V7" s="298">
        <v>227</v>
      </c>
      <c r="W7" s="298">
        <v>242</v>
      </c>
      <c r="X7" s="298">
        <v>258</v>
      </c>
      <c r="Y7" s="298">
        <v>273</v>
      </c>
      <c r="Z7" s="298">
        <v>287</v>
      </c>
      <c r="AA7" s="298">
        <v>301</v>
      </c>
      <c r="AB7" s="298">
        <v>316</v>
      </c>
      <c r="AC7" s="298">
        <v>329</v>
      </c>
      <c r="AD7" s="298">
        <v>343</v>
      </c>
      <c r="AE7" s="298">
        <v>356</v>
      </c>
      <c r="AF7" s="298">
        <v>369</v>
      </c>
      <c r="AG7" s="298">
        <v>382</v>
      </c>
    </row>
    <row r="8" spans="2:33" ht="15.75">
      <c r="B8" s="298" t="s">
        <v>100</v>
      </c>
      <c r="C8" s="298">
        <v>0</v>
      </c>
      <c r="D8" s="298">
        <v>0</v>
      </c>
      <c r="E8" s="298">
        <v>0</v>
      </c>
      <c r="F8" s="298">
        <v>0</v>
      </c>
      <c r="G8" s="298">
        <v>1</v>
      </c>
      <c r="H8" s="298">
        <v>3</v>
      </c>
      <c r="I8" s="298">
        <v>6</v>
      </c>
      <c r="J8" s="298">
        <v>10</v>
      </c>
      <c r="K8" s="298">
        <v>16</v>
      </c>
      <c r="L8" s="298">
        <v>23</v>
      </c>
      <c r="M8" s="298">
        <v>32</v>
      </c>
      <c r="N8" s="298">
        <v>42</v>
      </c>
      <c r="O8" s="298">
        <v>53</v>
      </c>
      <c r="P8" s="298">
        <v>65</v>
      </c>
      <c r="Q8" s="298">
        <v>78</v>
      </c>
      <c r="R8" s="298">
        <v>91</v>
      </c>
      <c r="S8" s="298">
        <v>104</v>
      </c>
      <c r="T8" s="298">
        <v>118</v>
      </c>
      <c r="U8" s="298">
        <v>132</v>
      </c>
      <c r="V8" s="298">
        <v>146</v>
      </c>
      <c r="W8" s="298">
        <v>159</v>
      </c>
      <c r="X8" s="298">
        <v>173</v>
      </c>
      <c r="Y8" s="298">
        <v>187</v>
      </c>
      <c r="Z8" s="298">
        <v>201</v>
      </c>
      <c r="AA8" s="298">
        <v>214</v>
      </c>
      <c r="AB8" s="298">
        <v>228</v>
      </c>
      <c r="AC8" s="298">
        <v>241</v>
      </c>
      <c r="AD8" s="298">
        <v>254</v>
      </c>
      <c r="AE8" s="298">
        <v>267</v>
      </c>
      <c r="AF8" s="298">
        <v>279</v>
      </c>
      <c r="AG8" s="298">
        <v>291</v>
      </c>
    </row>
    <row r="9" spans="2:33" ht="15.75">
      <c r="B9" s="302" t="s">
        <v>101</v>
      </c>
      <c r="C9" s="302">
        <v>0</v>
      </c>
      <c r="D9" s="302">
        <v>0</v>
      </c>
      <c r="E9" s="302">
        <v>0</v>
      </c>
      <c r="F9" s="302">
        <v>0</v>
      </c>
      <c r="G9" s="302">
        <v>1</v>
      </c>
      <c r="H9" s="302">
        <v>2</v>
      </c>
      <c r="I9" s="302">
        <v>4</v>
      </c>
      <c r="J9" s="302">
        <v>7</v>
      </c>
      <c r="K9" s="302">
        <v>11</v>
      </c>
      <c r="L9" s="302">
        <v>16</v>
      </c>
      <c r="M9" s="302">
        <v>21</v>
      </c>
      <c r="N9" s="302">
        <v>28</v>
      </c>
      <c r="O9" s="302">
        <v>35</v>
      </c>
      <c r="P9" s="302">
        <v>43</v>
      </c>
      <c r="Q9" s="302">
        <v>52</v>
      </c>
      <c r="R9" s="302">
        <v>60</v>
      </c>
      <c r="S9" s="302">
        <v>69</v>
      </c>
      <c r="T9" s="302">
        <v>78</v>
      </c>
      <c r="U9" s="302">
        <v>87</v>
      </c>
      <c r="V9" s="302">
        <v>97</v>
      </c>
      <c r="W9" s="302">
        <v>106</v>
      </c>
      <c r="X9" s="302">
        <v>115</v>
      </c>
      <c r="Y9" s="302">
        <v>124</v>
      </c>
      <c r="Z9" s="302">
        <v>133</v>
      </c>
      <c r="AA9" s="302">
        <v>142</v>
      </c>
      <c r="AB9" s="302">
        <v>151</v>
      </c>
      <c r="AC9" s="302">
        <v>160</v>
      </c>
      <c r="AD9" s="302">
        <v>168</v>
      </c>
      <c r="AE9" s="302">
        <v>177</v>
      </c>
      <c r="AF9" s="302">
        <v>185</v>
      </c>
      <c r="AG9" s="302">
        <v>193</v>
      </c>
    </row>
    <row r="10" ht="15.75"/>
    <row r="11" spans="2:9" ht="15.75">
      <c r="B11" s="305"/>
      <c r="C11" s="307" t="s">
        <v>114</v>
      </c>
      <c r="D11" s="307" t="s">
        <v>115</v>
      </c>
      <c r="E11" s="307" t="s">
        <v>116</v>
      </c>
      <c r="F11" s="307" t="s">
        <v>120</v>
      </c>
      <c r="G11" s="307" t="s">
        <v>121</v>
      </c>
      <c r="H11" s="307" t="s">
        <v>115</v>
      </c>
      <c r="I11" s="307" t="s">
        <v>116</v>
      </c>
    </row>
    <row r="12" spans="2:9" ht="15.75">
      <c r="B12" s="306" t="s">
        <v>88</v>
      </c>
      <c r="C12" s="308" t="s">
        <v>117</v>
      </c>
      <c r="D12" s="514" t="s">
        <v>118</v>
      </c>
      <c r="E12" s="514"/>
      <c r="F12" s="514" t="s">
        <v>119</v>
      </c>
      <c r="G12" s="514"/>
      <c r="H12" s="514" t="s">
        <v>122</v>
      </c>
      <c r="I12" s="514"/>
    </row>
    <row r="13" spans="1:9" ht="15.75">
      <c r="A13" s="15">
        <v>1</v>
      </c>
      <c r="B13" s="299" t="s">
        <v>460</v>
      </c>
      <c r="C13" s="299">
        <v>600</v>
      </c>
      <c r="D13" s="299">
        <v>15</v>
      </c>
      <c r="E13" s="299">
        <v>30</v>
      </c>
      <c r="F13" s="299">
        <v>0.43</v>
      </c>
      <c r="G13" s="303">
        <v>0.5</v>
      </c>
      <c r="H13" s="304">
        <f>D13*F13*G13*3.7</f>
        <v>11.932500000000001</v>
      </c>
      <c r="I13" s="304">
        <f>E13*F13*G13*3.7</f>
        <v>23.865000000000002</v>
      </c>
    </row>
    <row r="14" spans="1:9" ht="15.75">
      <c r="A14" s="15">
        <v>2</v>
      </c>
      <c r="B14" s="298" t="s">
        <v>104</v>
      </c>
      <c r="C14" s="298">
        <v>600</v>
      </c>
      <c r="D14" s="298">
        <v>15</v>
      </c>
      <c r="E14" s="298">
        <v>30</v>
      </c>
      <c r="F14" s="298">
        <v>0.43</v>
      </c>
      <c r="G14" s="300">
        <v>0.5</v>
      </c>
      <c r="H14" s="301">
        <f>D14*F14*G14*3.7</f>
        <v>11.932500000000001</v>
      </c>
      <c r="I14" s="301">
        <f>E14*F14*G14*3.7</f>
        <v>23.865000000000002</v>
      </c>
    </row>
    <row r="15" spans="1:9" ht="15.75">
      <c r="A15" s="15">
        <v>3</v>
      </c>
      <c r="B15" s="299" t="s">
        <v>461</v>
      </c>
      <c r="C15" s="299">
        <f aca="true" t="shared" si="1" ref="C15:I15">AVERAGE(C16:C19)</f>
        <v>775</v>
      </c>
      <c r="D15" s="299">
        <f t="shared" si="1"/>
        <v>15</v>
      </c>
      <c r="E15" s="299">
        <f t="shared" si="1"/>
        <v>32.5</v>
      </c>
      <c r="F15" s="299">
        <f t="shared" si="1"/>
        <v>0.63</v>
      </c>
      <c r="G15" s="299">
        <f t="shared" si="1"/>
        <v>0.5</v>
      </c>
      <c r="H15" s="299">
        <f t="shared" si="1"/>
        <v>17.482499999999998</v>
      </c>
      <c r="I15" s="299">
        <f t="shared" si="1"/>
        <v>37.878750000000004</v>
      </c>
    </row>
    <row r="16" spans="1:9" ht="15.75">
      <c r="A16" s="15">
        <v>4</v>
      </c>
      <c r="B16" s="298" t="s">
        <v>105</v>
      </c>
      <c r="C16" s="298">
        <v>700</v>
      </c>
      <c r="D16" s="298">
        <v>15</v>
      </c>
      <c r="E16" s="298">
        <v>35</v>
      </c>
      <c r="F16" s="298">
        <v>0.63</v>
      </c>
      <c r="G16" s="300">
        <v>0.5</v>
      </c>
      <c r="H16" s="301">
        <f>D16*F16*G16*3.7</f>
        <v>17.482499999999998</v>
      </c>
      <c r="I16" s="301">
        <f>E16*F16*G16*3.7</f>
        <v>40.792500000000004</v>
      </c>
    </row>
    <row r="17" spans="1:9" ht="15.75">
      <c r="A17" s="15">
        <v>5</v>
      </c>
      <c r="B17" s="298" t="s">
        <v>140</v>
      </c>
      <c r="C17" s="298">
        <v>800</v>
      </c>
      <c r="D17" s="298">
        <v>15</v>
      </c>
      <c r="E17" s="298">
        <v>35</v>
      </c>
      <c r="F17" s="298">
        <v>0.63</v>
      </c>
      <c r="G17" s="300">
        <v>0.5</v>
      </c>
      <c r="H17" s="301">
        <f>D17*F17*G17*3.7</f>
        <v>17.482499999999998</v>
      </c>
      <c r="I17" s="301">
        <f>E17*F17*G17*3.7</f>
        <v>40.792500000000004</v>
      </c>
    </row>
    <row r="18" spans="1:9" ht="15.75">
      <c r="A18" s="15">
        <v>6</v>
      </c>
      <c r="B18" s="298" t="s">
        <v>106</v>
      </c>
      <c r="C18" s="298">
        <v>800</v>
      </c>
      <c r="D18" s="298">
        <v>15</v>
      </c>
      <c r="E18" s="298">
        <v>30</v>
      </c>
      <c r="F18" s="298">
        <v>0.63</v>
      </c>
      <c r="G18" s="300">
        <v>0.5</v>
      </c>
      <c r="H18" s="301">
        <f>D18*F18*G18*3.7</f>
        <v>17.482499999999998</v>
      </c>
      <c r="I18" s="301">
        <f>E18*F18*G18*3.7</f>
        <v>34.964999999999996</v>
      </c>
    </row>
    <row r="19" spans="1:9" ht="15.75">
      <c r="A19" s="15">
        <v>7</v>
      </c>
      <c r="B19" s="298" t="s">
        <v>107</v>
      </c>
      <c r="C19" s="298">
        <v>800</v>
      </c>
      <c r="D19" s="298">
        <v>15</v>
      </c>
      <c r="E19" s="298">
        <v>30</v>
      </c>
      <c r="F19" s="298">
        <v>0.63</v>
      </c>
      <c r="G19" s="300">
        <v>0.5</v>
      </c>
      <c r="H19" s="301">
        <f>D19*F19*G19*3.7</f>
        <v>17.482499999999998</v>
      </c>
      <c r="I19" s="301">
        <f>E19*F19*G19*3.7</f>
        <v>34.964999999999996</v>
      </c>
    </row>
    <row r="20" spans="1:9" ht="15.75">
      <c r="A20" s="15">
        <v>8</v>
      </c>
      <c r="B20" s="298" t="s">
        <v>108</v>
      </c>
      <c r="C20" s="298">
        <v>600</v>
      </c>
      <c r="D20" s="298">
        <v>8</v>
      </c>
      <c r="E20" s="298">
        <v>20</v>
      </c>
      <c r="F20" s="298">
        <v>0.63</v>
      </c>
      <c r="G20" s="300">
        <v>0.5</v>
      </c>
      <c r="H20" s="301">
        <f>D20*F20*G20*3.7</f>
        <v>9.324</v>
      </c>
      <c r="I20" s="301">
        <f>E20*F20*G20*3.7</f>
        <v>23.31</v>
      </c>
    </row>
    <row r="21" spans="1:9" ht="15.75">
      <c r="A21" s="15">
        <v>9</v>
      </c>
      <c r="B21" s="299" t="s">
        <v>462</v>
      </c>
      <c r="C21" s="299">
        <f aca="true" t="shared" si="2" ref="C21:I21">AVERAGE(C22:C26)</f>
        <v>530</v>
      </c>
      <c r="D21" s="299">
        <f t="shared" si="2"/>
        <v>3</v>
      </c>
      <c r="E21" s="299">
        <f t="shared" si="2"/>
        <v>8.8</v>
      </c>
      <c r="F21" s="299">
        <f t="shared" si="2"/>
        <v>0.63</v>
      </c>
      <c r="G21" s="299">
        <f t="shared" si="2"/>
        <v>0.5</v>
      </c>
      <c r="H21" s="299">
        <f t="shared" si="2"/>
        <v>3.4964999999999997</v>
      </c>
      <c r="I21" s="299">
        <f t="shared" si="2"/>
        <v>10.2564</v>
      </c>
    </row>
    <row r="22" spans="1:9" ht="15.75">
      <c r="A22" s="15">
        <v>10</v>
      </c>
      <c r="B22" s="298" t="s">
        <v>109</v>
      </c>
      <c r="C22" s="298">
        <v>750</v>
      </c>
      <c r="D22" s="298">
        <v>4</v>
      </c>
      <c r="E22" s="298">
        <v>10</v>
      </c>
      <c r="F22" s="298">
        <v>0.63</v>
      </c>
      <c r="G22" s="300">
        <v>0.5</v>
      </c>
      <c r="H22" s="301">
        <f>D22*F22*G22*3.7</f>
        <v>4.662</v>
      </c>
      <c r="I22" s="301">
        <f>E22*F22*G22*3.7</f>
        <v>11.655</v>
      </c>
    </row>
    <row r="23" spans="1:9" ht="15.75">
      <c r="A23" s="15">
        <v>11</v>
      </c>
      <c r="B23" s="298" t="s">
        <v>110</v>
      </c>
      <c r="C23" s="298">
        <v>500</v>
      </c>
      <c r="D23" s="298">
        <v>5</v>
      </c>
      <c r="E23" s="298">
        <v>10</v>
      </c>
      <c r="F23" s="298">
        <v>0.63</v>
      </c>
      <c r="G23" s="300">
        <v>0.5</v>
      </c>
      <c r="H23" s="301">
        <f>D23*F23*G23*3.7</f>
        <v>5.8275</v>
      </c>
      <c r="I23" s="301">
        <f>E23*F23*G23*3.7</f>
        <v>11.655</v>
      </c>
    </row>
    <row r="24" spans="1:9" ht="15.75">
      <c r="A24" s="15">
        <v>12</v>
      </c>
      <c r="B24" s="298" t="s">
        <v>111</v>
      </c>
      <c r="C24" s="298">
        <v>500</v>
      </c>
      <c r="D24" s="298">
        <v>2</v>
      </c>
      <c r="E24" s="298">
        <v>8</v>
      </c>
      <c r="F24" s="298">
        <v>0.63</v>
      </c>
      <c r="G24" s="300">
        <v>0.5</v>
      </c>
      <c r="H24" s="301">
        <f>D24*F24*G24*3.7</f>
        <v>2.331</v>
      </c>
      <c r="I24" s="301">
        <f>E24*F24*G24*3.7</f>
        <v>9.324</v>
      </c>
    </row>
    <row r="25" spans="1:9" ht="15.75">
      <c r="A25" s="15">
        <v>13</v>
      </c>
      <c r="B25" s="298" t="s">
        <v>112</v>
      </c>
      <c r="C25" s="298">
        <v>400</v>
      </c>
      <c r="D25" s="298">
        <v>2</v>
      </c>
      <c r="E25" s="298">
        <v>8</v>
      </c>
      <c r="F25" s="298">
        <v>0.63</v>
      </c>
      <c r="G25" s="300">
        <v>0.5</v>
      </c>
      <c r="H25" s="301">
        <f>D25*F25*G25*3.7</f>
        <v>2.331</v>
      </c>
      <c r="I25" s="301">
        <f>E25*F25*G25*3.7</f>
        <v>9.324</v>
      </c>
    </row>
    <row r="26" spans="1:9" ht="15.75">
      <c r="A26" s="15">
        <v>14</v>
      </c>
      <c r="B26" s="298" t="s">
        <v>113</v>
      </c>
      <c r="C26" s="298">
        <v>500</v>
      </c>
      <c r="D26" s="298">
        <v>2</v>
      </c>
      <c r="E26" s="298">
        <v>8</v>
      </c>
      <c r="F26" s="298">
        <v>0.63</v>
      </c>
      <c r="G26" s="300">
        <v>0.5</v>
      </c>
      <c r="H26" s="301">
        <f>D26*F26*G26*3.7</f>
        <v>2.331</v>
      </c>
      <c r="I26" s="301">
        <f>E26*F26*G26*3.7</f>
        <v>9.324</v>
      </c>
    </row>
    <row r="27" spans="2:9" ht="15.75">
      <c r="B27" s="298"/>
      <c r="C27" s="298"/>
      <c r="D27" s="298"/>
      <c r="E27" s="298"/>
      <c r="F27" s="298"/>
      <c r="G27" s="298"/>
      <c r="H27" s="298"/>
      <c r="I27" s="298"/>
    </row>
    <row r="28" spans="2:9" ht="15.75">
      <c r="B28" s="298" t="s">
        <v>129</v>
      </c>
      <c r="C28" s="298" t="s">
        <v>122</v>
      </c>
      <c r="D28" s="298"/>
      <c r="E28" s="513" t="s">
        <v>133</v>
      </c>
      <c r="F28" s="513"/>
      <c r="G28" s="298"/>
      <c r="H28" s="298"/>
      <c r="I28" s="298"/>
    </row>
    <row r="29" spans="1:9" ht="15.75">
      <c r="A29" s="15">
        <v>1</v>
      </c>
      <c r="B29" s="298" t="s">
        <v>130</v>
      </c>
      <c r="C29" s="298" t="b">
        <f>IF('Data summary'!C24=1,Trees!F29)</f>
        <v>0</v>
      </c>
      <c r="D29" s="298"/>
      <c r="E29" s="298">
        <f>VLOOKUP('Data summary'!C23,Trees!A13:I26,8,FALSE)</f>
        <v>17.482499999999998</v>
      </c>
      <c r="F29" s="298">
        <f>VLOOKUP('Data summary'!C23,Trees!A13:I26,9,FALSE)</f>
        <v>37.878750000000004</v>
      </c>
      <c r="G29" s="298"/>
      <c r="H29" s="298"/>
      <c r="I29" s="298"/>
    </row>
    <row r="30" spans="1:9" ht="15.75">
      <c r="A30" s="15">
        <v>2</v>
      </c>
      <c r="B30" s="298" t="s">
        <v>132</v>
      </c>
      <c r="C30" s="298">
        <f>IF('Data summary'!C24=2,AVERAGE(Trees!F29,Trees!E29))</f>
        <v>27.680625</v>
      </c>
      <c r="D30" s="298"/>
      <c r="E30" s="298"/>
      <c r="F30" s="299">
        <f>AVERAGE(C29:C31)</f>
        <v>27.680625</v>
      </c>
      <c r="G30" s="298"/>
      <c r="H30" s="298"/>
      <c r="I30" s="298"/>
    </row>
    <row r="31" spans="1:9" ht="15.75">
      <c r="A31" s="15">
        <v>3</v>
      </c>
      <c r="B31" s="302" t="s">
        <v>131</v>
      </c>
      <c r="C31" s="302" t="b">
        <f>IF('Data summary'!C24=3,Trees!E29)</f>
        <v>0</v>
      </c>
      <c r="D31" s="302"/>
      <c r="E31" s="302"/>
      <c r="F31" s="302"/>
      <c r="G31" s="302"/>
      <c r="H31" s="302"/>
      <c r="I31" s="302"/>
    </row>
    <row r="32" ht="22.5" customHeight="1">
      <c r="B32" s="3"/>
    </row>
  </sheetData>
  <sheetProtection sheet="1"/>
  <mergeCells count="4">
    <mergeCell ref="E28:F28"/>
    <mergeCell ref="D12:E12"/>
    <mergeCell ref="H12:I12"/>
    <mergeCell ref="F12:G12"/>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J46"/>
  <sheetViews>
    <sheetView showGridLines="0" zoomScale="80" zoomScaleNormal="80" zoomScalePageLayoutView="0" workbookViewId="0" topLeftCell="A1">
      <selection activeCell="A1" sqref="A1"/>
    </sheetView>
  </sheetViews>
  <sheetFormatPr defaultColWidth="8.8515625" defaultRowHeight="12.75"/>
  <cols>
    <col min="1" max="1" width="3.7109375" style="1" customWidth="1"/>
    <col min="2" max="2" width="38.57421875" style="1" customWidth="1"/>
    <col min="3" max="3" width="13.28125" style="1" customWidth="1"/>
    <col min="4" max="4" width="12.8515625" style="1" customWidth="1"/>
    <col min="5" max="5" width="11.421875" style="1" customWidth="1"/>
    <col min="6" max="6" width="9.7109375" style="1" bestFit="1" customWidth="1"/>
    <col min="7" max="7" width="9.7109375" style="1" customWidth="1"/>
    <col min="8" max="8" width="9.8515625" style="1" customWidth="1"/>
    <col min="9" max="9" width="12.00390625" style="1" bestFit="1" customWidth="1"/>
    <col min="10" max="10" width="12.00390625" style="1" customWidth="1"/>
    <col min="11" max="11" width="8.8515625" style="1" customWidth="1"/>
    <col min="12" max="12" width="10.7109375" style="1" customWidth="1"/>
    <col min="13" max="16384" width="8.8515625" style="1" customWidth="1"/>
  </cols>
  <sheetData>
    <row r="1" ht="25.5" customHeight="1">
      <c r="B1" s="17" t="s">
        <v>81</v>
      </c>
    </row>
    <row r="2" ht="15.75">
      <c r="A2" s="2"/>
    </row>
    <row r="3" spans="1:8" ht="15.75">
      <c r="A3" s="2"/>
      <c r="B3" s="311" t="s">
        <v>22</v>
      </c>
      <c r="C3" s="312"/>
      <c r="D3" s="312"/>
      <c r="E3" s="312"/>
      <c r="F3" s="311" t="s">
        <v>59</v>
      </c>
      <c r="G3" s="312"/>
      <c r="H3" s="311"/>
    </row>
    <row r="4" spans="1:8" ht="15.75">
      <c r="A4" s="2"/>
      <c r="B4" s="85" t="s">
        <v>267</v>
      </c>
      <c r="C4" s="85">
        <f>'Data summary'!C19</f>
        <v>10000</v>
      </c>
      <c r="D4" s="85"/>
      <c r="E4" s="85"/>
      <c r="F4" s="85" t="s">
        <v>265</v>
      </c>
      <c r="G4" s="85"/>
      <c r="H4" s="85"/>
    </row>
    <row r="5" spans="1:8" ht="15.75">
      <c r="A5" s="2"/>
      <c r="B5" s="85" t="s">
        <v>278</v>
      </c>
      <c r="C5" s="85">
        <v>38.6</v>
      </c>
      <c r="D5" s="85"/>
      <c r="E5" s="85"/>
      <c r="F5" s="85" t="s">
        <v>279</v>
      </c>
      <c r="G5" s="85"/>
      <c r="H5" s="85"/>
    </row>
    <row r="6" spans="1:8" ht="15.75">
      <c r="A6" s="2"/>
      <c r="B6" s="85" t="s">
        <v>275</v>
      </c>
      <c r="C6" s="85">
        <v>99</v>
      </c>
      <c r="D6" s="85"/>
      <c r="E6" s="85"/>
      <c r="F6" s="85" t="s">
        <v>26</v>
      </c>
      <c r="G6" s="85"/>
      <c r="H6" s="85"/>
    </row>
    <row r="7" spans="1:8" ht="15.75">
      <c r="A7" s="2"/>
      <c r="B7" s="85" t="s">
        <v>274</v>
      </c>
      <c r="C7" s="85">
        <v>69.9</v>
      </c>
      <c r="D7" s="85"/>
      <c r="E7" s="85"/>
      <c r="F7" s="85" t="s">
        <v>269</v>
      </c>
      <c r="G7" s="85"/>
      <c r="H7" s="85"/>
    </row>
    <row r="8" spans="1:8" ht="15.75">
      <c r="A8" s="2"/>
      <c r="B8" s="85" t="s">
        <v>266</v>
      </c>
      <c r="C8" s="85">
        <f>'Data summary'!C20</f>
        <v>43248</v>
      </c>
      <c r="D8" s="85"/>
      <c r="E8" s="85"/>
      <c r="F8" s="85" t="s">
        <v>268</v>
      </c>
      <c r="G8" s="85"/>
      <c r="H8" s="85"/>
    </row>
    <row r="9" spans="1:8" ht="15.75">
      <c r="A9" s="2"/>
      <c r="B9" s="85" t="s">
        <v>521</v>
      </c>
      <c r="C9" s="85">
        <f>VLOOKUP('Data summary'!C21,A38:E45,5,FALSE)</f>
        <v>0.0014</v>
      </c>
      <c r="D9" s="85"/>
      <c r="E9" s="85"/>
      <c r="F9" s="87" t="s">
        <v>288</v>
      </c>
      <c r="G9" s="85"/>
      <c r="H9" s="85"/>
    </row>
    <row r="10" spans="1:8" ht="15.75">
      <c r="A10" s="2"/>
      <c r="B10" s="468"/>
      <c r="C10" s="468"/>
      <c r="D10" s="468"/>
      <c r="E10" s="468"/>
      <c r="F10" s="468"/>
      <c r="G10" s="468"/>
      <c r="H10" s="85"/>
    </row>
    <row r="11" spans="1:8" ht="15.75">
      <c r="A11" s="2"/>
      <c r="B11" s="310"/>
      <c r="C11" s="310"/>
      <c r="D11" s="310"/>
      <c r="E11" s="310"/>
      <c r="F11" s="310"/>
      <c r="G11" s="310"/>
      <c r="H11" s="85"/>
    </row>
    <row r="12" spans="1:8" ht="15.75">
      <c r="A12" s="2"/>
      <c r="B12" s="86" t="s">
        <v>273</v>
      </c>
      <c r="C12" s="86" t="s">
        <v>276</v>
      </c>
      <c r="D12" s="85"/>
      <c r="E12" s="85"/>
      <c r="F12" s="85"/>
      <c r="G12" s="85"/>
      <c r="H12" s="85"/>
    </row>
    <row r="13" spans="1:8" ht="15.75">
      <c r="A13" s="2"/>
      <c r="B13" s="86"/>
      <c r="C13" s="85" t="s">
        <v>518</v>
      </c>
      <c r="D13" s="85"/>
      <c r="E13" s="85"/>
      <c r="F13" s="85"/>
      <c r="G13" s="85"/>
      <c r="H13" s="85"/>
    </row>
    <row r="14" spans="1:8" ht="15.75">
      <c r="A14" s="2"/>
      <c r="B14" s="86"/>
      <c r="C14" s="85" t="s">
        <v>519</v>
      </c>
      <c r="D14" s="85"/>
      <c r="E14" s="85"/>
      <c r="F14" s="85"/>
      <c r="G14" s="85"/>
      <c r="H14" s="85"/>
    </row>
    <row r="15" spans="1:8" ht="15.75">
      <c r="A15" s="2"/>
      <c r="B15" s="86"/>
      <c r="C15" s="85" t="s">
        <v>520</v>
      </c>
      <c r="D15" s="85"/>
      <c r="E15" s="85"/>
      <c r="F15" s="85"/>
      <c r="G15" s="85"/>
      <c r="H15" s="85"/>
    </row>
    <row r="16" spans="1:8" ht="15.75">
      <c r="A16" s="2"/>
      <c r="B16" s="86"/>
      <c r="C16" s="85" t="s">
        <v>359</v>
      </c>
      <c r="D16" s="85"/>
      <c r="E16" s="85"/>
      <c r="F16" s="85"/>
      <c r="G16" s="85"/>
      <c r="H16" s="85"/>
    </row>
    <row r="17" spans="1:8" ht="15.75">
      <c r="A17" s="2"/>
      <c r="B17" s="86"/>
      <c r="C17" s="85"/>
      <c r="D17" s="85"/>
      <c r="E17" s="85"/>
      <c r="F17" s="85"/>
      <c r="G17" s="85"/>
      <c r="H17" s="85"/>
    </row>
    <row r="18" spans="1:8" ht="15.75">
      <c r="A18" s="2"/>
      <c r="B18" s="85"/>
      <c r="C18" s="88">
        <f>$C$4*$C$5*$C$6%*$C$7*10^-6</f>
        <v>26.711586000000004</v>
      </c>
      <c r="D18" s="85"/>
      <c r="E18" s="85"/>
      <c r="F18" s="85" t="s">
        <v>277</v>
      </c>
      <c r="G18" s="85"/>
      <c r="H18" s="85"/>
    </row>
    <row r="19" spans="1:8" ht="15.75">
      <c r="A19" s="2"/>
      <c r="B19" s="85"/>
      <c r="C19" s="85"/>
      <c r="D19" s="85"/>
      <c r="E19" s="85"/>
      <c r="F19" s="85"/>
      <c r="G19" s="85"/>
      <c r="H19" s="85"/>
    </row>
    <row r="20" spans="1:9" ht="15.75">
      <c r="A20" s="2"/>
      <c r="B20" s="507" t="s">
        <v>270</v>
      </c>
      <c r="C20" s="312"/>
      <c r="D20" s="312"/>
      <c r="E20" s="312"/>
      <c r="F20" s="312" t="s">
        <v>272</v>
      </c>
      <c r="G20" s="312"/>
      <c r="H20" s="483"/>
      <c r="I20" s="15"/>
    </row>
    <row r="21" spans="1:9" ht="15.75">
      <c r="A21" s="2"/>
      <c r="B21" s="469"/>
      <c r="C21" s="89" t="s">
        <v>146</v>
      </c>
      <c r="D21" s="89" t="s">
        <v>147</v>
      </c>
      <c r="E21" s="89" t="s">
        <v>79</v>
      </c>
      <c r="F21" s="89" t="s">
        <v>77</v>
      </c>
      <c r="G21" s="89" t="s">
        <v>78</v>
      </c>
      <c r="H21" s="470" t="s">
        <v>271</v>
      </c>
      <c r="I21" s="15"/>
    </row>
    <row r="22" spans="1:9" ht="15.75">
      <c r="A22" s="2"/>
      <c r="B22" s="471"/>
      <c r="C22" s="472">
        <v>0.01</v>
      </c>
      <c r="D22" s="472">
        <v>0.002</v>
      </c>
      <c r="E22" s="472">
        <v>1.36</v>
      </c>
      <c r="F22" s="472">
        <v>0.541</v>
      </c>
      <c r="G22" s="472">
        <v>0.189</v>
      </c>
      <c r="H22" s="473">
        <v>0.116</v>
      </c>
      <c r="I22" s="15"/>
    </row>
    <row r="23" spans="1:9" ht="15.75">
      <c r="A23" s="2"/>
      <c r="B23" s="87"/>
      <c r="C23" s="89"/>
      <c r="D23" s="89"/>
      <c r="E23" s="89"/>
      <c r="F23" s="89"/>
      <c r="G23" s="89"/>
      <c r="H23" s="89"/>
      <c r="I23" s="15"/>
    </row>
    <row r="24" spans="1:8" ht="15.75">
      <c r="A24" s="2"/>
      <c r="B24" s="86" t="s">
        <v>280</v>
      </c>
      <c r="C24" s="85"/>
      <c r="D24" s="85"/>
      <c r="E24" s="85"/>
      <c r="F24" s="85" t="s">
        <v>281</v>
      </c>
      <c r="G24" s="85"/>
      <c r="H24" s="85"/>
    </row>
    <row r="25" spans="2:8" ht="15.75">
      <c r="B25" s="85"/>
      <c r="C25" s="90">
        <f aca="true" t="shared" si="0" ref="C25:H25">$C$4*$C$5*$C$6%*C22*10^-6</f>
        <v>0.0038214</v>
      </c>
      <c r="D25" s="90">
        <f t="shared" si="0"/>
        <v>0.0007642799999999999</v>
      </c>
      <c r="E25" s="90">
        <f t="shared" si="0"/>
        <v>0.5197104</v>
      </c>
      <c r="F25" s="90">
        <f t="shared" si="0"/>
        <v>0.20673774</v>
      </c>
      <c r="G25" s="90">
        <f t="shared" si="0"/>
        <v>0.07222446</v>
      </c>
      <c r="H25" s="90">
        <f t="shared" si="0"/>
        <v>0.044328240000000005</v>
      </c>
    </row>
    <row r="26" spans="2:8" ht="15.75">
      <c r="B26" s="86" t="s">
        <v>291</v>
      </c>
      <c r="C26" s="88">
        <f>C18+C25+D25+E25+F25+G25+H25</f>
        <v>27.559172520000004</v>
      </c>
      <c r="D26" s="90"/>
      <c r="E26" s="90"/>
      <c r="F26" s="90" t="s">
        <v>281</v>
      </c>
      <c r="G26" s="90"/>
      <c r="H26" s="90"/>
    </row>
    <row r="27" spans="2:8" ht="15.75">
      <c r="B27" s="85"/>
      <c r="C27" s="90"/>
      <c r="D27" s="90"/>
      <c r="E27" s="90"/>
      <c r="F27" s="90"/>
      <c r="G27" s="90"/>
      <c r="H27" s="90"/>
    </row>
    <row r="28" spans="2:10" ht="15.75">
      <c r="B28" s="86" t="s">
        <v>282</v>
      </c>
      <c r="C28" s="91" t="s">
        <v>289</v>
      </c>
      <c r="D28" s="90"/>
      <c r="E28" s="90"/>
      <c r="F28" s="90"/>
      <c r="G28" s="92"/>
      <c r="H28" s="92"/>
      <c r="I28" s="15"/>
      <c r="J28" s="15"/>
    </row>
    <row r="29" spans="2:10" ht="15.75">
      <c r="B29" s="85"/>
      <c r="C29" s="90" t="s">
        <v>522</v>
      </c>
      <c r="D29" s="90"/>
      <c r="E29" s="90"/>
      <c r="F29" s="90"/>
      <c r="G29" s="92"/>
      <c r="H29" s="92"/>
      <c r="I29" s="15"/>
      <c r="J29" s="15"/>
    </row>
    <row r="30" spans="2:10" ht="15.75">
      <c r="B30" s="85"/>
      <c r="C30" s="90" t="s">
        <v>523</v>
      </c>
      <c r="D30" s="90"/>
      <c r="E30" s="90"/>
      <c r="F30" s="90"/>
      <c r="G30" s="92"/>
      <c r="H30" s="92"/>
      <c r="I30" s="15"/>
      <c r="J30" s="15"/>
    </row>
    <row r="31" spans="2:10" ht="15.75">
      <c r="B31" s="85"/>
      <c r="C31" s="90"/>
      <c r="D31" s="90"/>
      <c r="E31" s="90"/>
      <c r="F31" s="90"/>
      <c r="G31" s="92"/>
      <c r="H31" s="92"/>
      <c r="I31" s="15"/>
      <c r="J31" s="15"/>
    </row>
    <row r="32" spans="2:10" ht="15.75">
      <c r="B32" s="85"/>
      <c r="C32" s="88">
        <f>C8*C9</f>
        <v>60.5472</v>
      </c>
      <c r="D32" s="90"/>
      <c r="E32" s="93"/>
      <c r="F32" s="90" t="s">
        <v>281</v>
      </c>
      <c r="G32" s="461"/>
      <c r="H32" s="92"/>
      <c r="I32" s="15"/>
      <c r="J32" s="15"/>
    </row>
    <row r="33" spans="2:10" ht="15.75">
      <c r="B33" s="85"/>
      <c r="C33" s="88"/>
      <c r="D33" s="90"/>
      <c r="E33" s="93"/>
      <c r="F33" s="90"/>
      <c r="G33" s="461"/>
      <c r="H33" s="92"/>
      <c r="I33" s="15"/>
      <c r="J33" s="15"/>
    </row>
    <row r="34" spans="2:10" ht="15.75">
      <c r="B34" s="86" t="s">
        <v>290</v>
      </c>
      <c r="C34" s="88">
        <f>C26+C32</f>
        <v>88.10637252000001</v>
      </c>
      <c r="D34" s="90"/>
      <c r="E34" s="93"/>
      <c r="F34" s="90" t="s">
        <v>281</v>
      </c>
      <c r="G34" s="461"/>
      <c r="H34" s="92"/>
      <c r="I34" s="15"/>
      <c r="J34" s="15"/>
    </row>
    <row r="35" spans="2:10" ht="15.75">
      <c r="B35" s="85"/>
      <c r="C35" s="90"/>
      <c r="D35" s="90"/>
      <c r="E35" s="90"/>
      <c r="F35" s="90"/>
      <c r="G35" s="92"/>
      <c r="H35" s="92"/>
      <c r="I35" s="26"/>
      <c r="J35" s="15"/>
    </row>
    <row r="36" spans="2:10" ht="15.75">
      <c r="B36" s="482" t="s">
        <v>283</v>
      </c>
      <c r="C36" s="312"/>
      <c r="D36" s="312"/>
      <c r="E36" s="483"/>
      <c r="F36" s="90"/>
      <c r="G36" s="92"/>
      <c r="H36" s="92"/>
      <c r="I36" s="15"/>
      <c r="J36" s="15"/>
    </row>
    <row r="37" spans="2:10" ht="18" customHeight="1">
      <c r="B37" s="479" t="s">
        <v>284</v>
      </c>
      <c r="C37" s="480" t="s">
        <v>285</v>
      </c>
      <c r="D37" s="480" t="s">
        <v>286</v>
      </c>
      <c r="E37" s="481" t="s">
        <v>287</v>
      </c>
      <c r="F37" s="90"/>
      <c r="G37" s="92"/>
      <c r="H37" s="92"/>
      <c r="I37" s="15"/>
      <c r="J37" s="15"/>
    </row>
    <row r="38" spans="1:10" ht="16.5" customHeight="1">
      <c r="A38" s="1">
        <v>1</v>
      </c>
      <c r="B38" s="474" t="s">
        <v>89</v>
      </c>
      <c r="C38" s="94">
        <v>30</v>
      </c>
      <c r="D38" s="94">
        <v>1000</v>
      </c>
      <c r="E38" s="475">
        <f>D38*10^-6</f>
        <v>0.001</v>
      </c>
      <c r="F38" s="90"/>
      <c r="G38" s="515"/>
      <c r="H38" s="516"/>
      <c r="I38" s="15"/>
      <c r="J38" s="15"/>
    </row>
    <row r="39" spans="1:10" ht="15.75">
      <c r="A39" s="1">
        <v>2</v>
      </c>
      <c r="B39" s="474" t="s">
        <v>90</v>
      </c>
      <c r="C39" s="94">
        <v>25</v>
      </c>
      <c r="D39" s="94">
        <v>1400</v>
      </c>
      <c r="E39" s="475">
        <f>D39*10^-6</f>
        <v>0.0014</v>
      </c>
      <c r="F39" s="90"/>
      <c r="G39" s="92"/>
      <c r="H39" s="92"/>
      <c r="I39" s="15"/>
      <c r="J39" s="15"/>
    </row>
    <row r="40" spans="1:10" ht="15.75">
      <c r="A40" s="1">
        <v>3</v>
      </c>
      <c r="B40" s="474" t="s">
        <v>91</v>
      </c>
      <c r="C40" s="94">
        <v>30</v>
      </c>
      <c r="D40" s="94">
        <v>1080</v>
      </c>
      <c r="E40" s="475">
        <f aca="true" t="shared" si="1" ref="E40:E45">D40*10^-6</f>
        <v>0.00108</v>
      </c>
      <c r="F40" s="90"/>
      <c r="G40" s="92"/>
      <c r="H40" s="92"/>
      <c r="I40" s="15"/>
      <c r="J40" s="15"/>
    </row>
    <row r="41" spans="1:10" ht="15.75">
      <c r="A41" s="1">
        <v>4</v>
      </c>
      <c r="B41" s="474" t="s">
        <v>92</v>
      </c>
      <c r="C41" s="95">
        <v>5.9</v>
      </c>
      <c r="D41" s="95">
        <v>510</v>
      </c>
      <c r="E41" s="476">
        <f t="shared" si="1"/>
        <v>0.0005099999999999999</v>
      </c>
      <c r="F41" s="90"/>
      <c r="G41" s="92"/>
      <c r="H41" s="92"/>
      <c r="I41" s="15"/>
      <c r="J41" s="15"/>
    </row>
    <row r="42" spans="1:10" ht="15.75">
      <c r="A42" s="1">
        <v>5</v>
      </c>
      <c r="B42" s="474" t="s">
        <v>4</v>
      </c>
      <c r="C42" s="95">
        <v>37.55</v>
      </c>
      <c r="D42" s="95">
        <v>494</v>
      </c>
      <c r="E42" s="476">
        <f t="shared" si="1"/>
        <v>0.000494</v>
      </c>
      <c r="F42" s="90"/>
      <c r="G42" s="92"/>
      <c r="H42" s="92"/>
      <c r="I42" s="15"/>
      <c r="J42" s="26"/>
    </row>
    <row r="43" spans="1:10" ht="15.75">
      <c r="A43" s="1">
        <v>6</v>
      </c>
      <c r="B43" s="474" t="s">
        <v>93</v>
      </c>
      <c r="C43" s="95">
        <v>37</v>
      </c>
      <c r="D43" s="95">
        <v>681</v>
      </c>
      <c r="E43" s="476">
        <f t="shared" si="1"/>
        <v>0.000681</v>
      </c>
      <c r="F43" s="90"/>
      <c r="G43" s="92"/>
      <c r="H43" s="92"/>
      <c r="I43" s="15"/>
      <c r="J43" s="15"/>
    </row>
    <row r="44" spans="1:10" ht="15.75">
      <c r="A44" s="1">
        <v>7</v>
      </c>
      <c r="B44" s="474" t="s">
        <v>5</v>
      </c>
      <c r="C44" s="95">
        <v>83.8</v>
      </c>
      <c r="D44" s="95">
        <v>314</v>
      </c>
      <c r="E44" s="476">
        <f t="shared" si="1"/>
        <v>0.000314</v>
      </c>
      <c r="F44" s="90"/>
      <c r="G44" s="92"/>
      <c r="H44" s="92"/>
      <c r="I44" s="15"/>
      <c r="J44" s="15"/>
    </row>
    <row r="45" spans="1:8" ht="15.75">
      <c r="A45" s="1">
        <v>8</v>
      </c>
      <c r="B45" s="477" t="s">
        <v>0</v>
      </c>
      <c r="C45" s="310"/>
      <c r="D45" s="313">
        <v>0</v>
      </c>
      <c r="E45" s="478">
        <f t="shared" si="1"/>
        <v>0</v>
      </c>
      <c r="F45" s="314"/>
      <c r="G45" s="314"/>
      <c r="H45" s="314"/>
    </row>
    <row r="46" spans="3:8" ht="15.75">
      <c r="C46" s="27"/>
      <c r="D46" s="27"/>
      <c r="E46" s="27"/>
      <c r="F46" s="27"/>
      <c r="G46" s="27"/>
      <c r="H46" s="27"/>
    </row>
  </sheetData>
  <sheetProtection sheet="1"/>
  <mergeCells count="1">
    <mergeCell ref="G38:H38"/>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ILFR, The University of Melbourne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Richard J Eckard</dc:creator>
  <cp:keywords/>
  <dc:description/>
  <cp:lastModifiedBy>rjeckard</cp:lastModifiedBy>
  <cp:lastPrinted>2002-03-13T02:03:34Z</cp:lastPrinted>
  <dcterms:created xsi:type="dcterms:W3CDTF">2001-05-18T05:48:59Z</dcterms:created>
  <dcterms:modified xsi:type="dcterms:W3CDTF">2012-08-08T12:08:56Z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