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C:\Users\rjeckard\Documents\My Webs\GIA\excel_files\"/>
    </mc:Choice>
  </mc:AlternateContent>
  <bookViews>
    <workbookView xWindow="0" yWindow="0" windowWidth="36765" windowHeight="19965" tabRatio="856"/>
  </bookViews>
  <sheets>
    <sheet name="Data summary" sheetId="2" r:id="rId1"/>
    <sheet name="Data input" sheetId="24238" r:id="rId2"/>
    <sheet name="Enteric fermentation" sheetId="3" r:id="rId3"/>
    <sheet name="Manure management" sheetId="515" r:id="rId4"/>
    <sheet name="Nitrous oxide MMS" sheetId="24232" r:id="rId5"/>
    <sheet name="Agricultural soils" sheetId="8" r:id="rId6"/>
    <sheet name="Liming" sheetId="24240" r:id="rId7"/>
    <sheet name="Urea Application" sheetId="24242" r:id="rId8"/>
    <sheet name="Electicity &amp; Diesel" sheetId="24234" r:id="rId9"/>
    <sheet name="Transport" sheetId="24241" r:id="rId10"/>
    <sheet name="GWP" sheetId="24239" r:id="rId11"/>
  </sheets>
  <definedNames>
    <definedName name="powersource">'Electicity &amp; Diesel'!#REF!</definedName>
    <definedName name="state">'Nitrous oxide MMS'!#REF!</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D40" i="24232" l="1"/>
  <c r="D15" i="3"/>
  <c r="D10" i="3"/>
  <c r="D25" i="3"/>
  <c r="D20" i="3"/>
  <c r="M13" i="3"/>
  <c r="M6" i="3"/>
  <c r="D5" i="24232"/>
  <c r="D10" i="24232"/>
  <c r="M8" i="24232"/>
  <c r="D15" i="24232"/>
  <c r="D20" i="24232"/>
  <c r="M30" i="24232"/>
  <c r="M43" i="24232"/>
  <c r="D25" i="24232"/>
  <c r="D30" i="24232"/>
  <c r="M14" i="24232"/>
  <c r="D45" i="24232"/>
  <c r="D35" i="24232"/>
  <c r="M22" i="24232"/>
  <c r="M36" i="24232"/>
  <c r="M50" i="24232"/>
  <c r="M57" i="24232"/>
  <c r="G62" i="24232"/>
  <c r="M89" i="24232"/>
  <c r="M187" i="24232"/>
  <c r="E40" i="24232"/>
  <c r="E15" i="3"/>
  <c r="E10" i="3"/>
  <c r="E25" i="3"/>
  <c r="E20" i="3"/>
  <c r="N13" i="3"/>
  <c r="N6" i="3"/>
  <c r="E5" i="24232"/>
  <c r="E10" i="24232"/>
  <c r="N8" i="24232"/>
  <c r="E15" i="24232"/>
  <c r="E20" i="24232"/>
  <c r="N30" i="24232"/>
  <c r="N43" i="24232"/>
  <c r="E25" i="24232"/>
  <c r="E30" i="24232"/>
  <c r="N14" i="24232"/>
  <c r="E45" i="24232"/>
  <c r="E35" i="24232"/>
  <c r="N22" i="24232"/>
  <c r="N36" i="24232"/>
  <c r="N50" i="24232"/>
  <c r="N57" i="24232"/>
  <c r="G63" i="24232"/>
  <c r="N89" i="24232"/>
  <c r="N187" i="24232"/>
  <c r="F40" i="24232"/>
  <c r="F15" i="3"/>
  <c r="F10" i="3"/>
  <c r="F25" i="3"/>
  <c r="F20" i="3"/>
  <c r="O13" i="3"/>
  <c r="O6" i="3"/>
  <c r="F5" i="24232"/>
  <c r="F10" i="24232"/>
  <c r="O8" i="24232"/>
  <c r="F15" i="24232"/>
  <c r="F20" i="24232"/>
  <c r="O30" i="24232"/>
  <c r="O43" i="24232"/>
  <c r="F25" i="24232"/>
  <c r="F30" i="24232"/>
  <c r="O14" i="24232"/>
  <c r="F45" i="24232"/>
  <c r="F35" i="24232"/>
  <c r="O22" i="24232"/>
  <c r="O36" i="24232"/>
  <c r="O50" i="24232"/>
  <c r="O57" i="24232"/>
  <c r="O89" i="24232"/>
  <c r="O187" i="24232"/>
  <c r="G40" i="24232"/>
  <c r="G15" i="3"/>
  <c r="G10" i="3"/>
  <c r="G25" i="3"/>
  <c r="G20" i="3"/>
  <c r="P13" i="3"/>
  <c r="P6" i="3"/>
  <c r="G5" i="24232"/>
  <c r="G10" i="24232"/>
  <c r="P8" i="24232"/>
  <c r="G15" i="24232"/>
  <c r="G20" i="24232"/>
  <c r="P30" i="24232"/>
  <c r="P43" i="24232"/>
  <c r="G25" i="24232"/>
  <c r="G30" i="24232"/>
  <c r="P14" i="24232"/>
  <c r="G59" i="24232"/>
  <c r="G45" i="24232"/>
  <c r="G35" i="24232"/>
  <c r="P22" i="24232"/>
  <c r="P36" i="24232"/>
  <c r="P50" i="24232"/>
  <c r="P57" i="24232"/>
  <c r="P89" i="24232"/>
  <c r="P187" i="24232"/>
  <c r="H40" i="24232"/>
  <c r="H15" i="3"/>
  <c r="H10" i="3"/>
  <c r="H25" i="3"/>
  <c r="H20" i="3"/>
  <c r="Q13" i="3"/>
  <c r="Q6" i="3"/>
  <c r="H5" i="24232"/>
  <c r="H10" i="24232"/>
  <c r="Q8" i="24232"/>
  <c r="H15" i="24232"/>
  <c r="H20" i="24232"/>
  <c r="Q30" i="24232"/>
  <c r="Q43" i="24232"/>
  <c r="H25" i="24232"/>
  <c r="H30" i="24232"/>
  <c r="Q14" i="24232"/>
  <c r="H59" i="24232"/>
  <c r="H45" i="24232"/>
  <c r="H35" i="24232"/>
  <c r="Q22" i="24232"/>
  <c r="Q36" i="24232"/>
  <c r="Q50" i="24232"/>
  <c r="Q57" i="24232"/>
  <c r="Q89" i="24232"/>
  <c r="Q187" i="24232"/>
  <c r="D41" i="24232"/>
  <c r="D16" i="3"/>
  <c r="D11" i="3"/>
  <c r="D26" i="3"/>
  <c r="D21" i="3"/>
  <c r="M14" i="3"/>
  <c r="M7" i="3"/>
  <c r="D6" i="24232"/>
  <c r="D11" i="24232"/>
  <c r="M9" i="24232"/>
  <c r="D16" i="24232"/>
  <c r="D21" i="24232"/>
  <c r="M31" i="24232"/>
  <c r="M44" i="24232"/>
  <c r="D26" i="24232"/>
  <c r="D31" i="24232"/>
  <c r="M15" i="24232"/>
  <c r="D46" i="24232"/>
  <c r="D36" i="24232"/>
  <c r="M23" i="24232"/>
  <c r="M37" i="24232"/>
  <c r="M51" i="24232"/>
  <c r="M58" i="24232"/>
  <c r="M90" i="24232"/>
  <c r="M188" i="24232"/>
  <c r="E41" i="24232"/>
  <c r="E16" i="3"/>
  <c r="E11" i="3"/>
  <c r="E26" i="3"/>
  <c r="E21" i="3"/>
  <c r="N14" i="3"/>
  <c r="N7" i="3"/>
  <c r="E6" i="24232"/>
  <c r="E11" i="24232"/>
  <c r="N9" i="24232"/>
  <c r="E16" i="24232"/>
  <c r="E21" i="24232"/>
  <c r="N31" i="24232"/>
  <c r="N44" i="24232"/>
  <c r="E26" i="24232"/>
  <c r="E31" i="24232"/>
  <c r="N15" i="24232"/>
  <c r="E46" i="24232"/>
  <c r="E36" i="24232"/>
  <c r="N23" i="24232"/>
  <c r="N37" i="24232"/>
  <c r="N51" i="24232"/>
  <c r="N58" i="24232"/>
  <c r="N90" i="24232"/>
  <c r="N188" i="24232"/>
  <c r="F41" i="24232"/>
  <c r="F16" i="3"/>
  <c r="F11" i="3"/>
  <c r="F26" i="3"/>
  <c r="F21" i="3"/>
  <c r="O14" i="3"/>
  <c r="O7" i="3"/>
  <c r="F6" i="24232"/>
  <c r="F11" i="24232"/>
  <c r="O9" i="24232"/>
  <c r="F16" i="24232"/>
  <c r="F21" i="24232"/>
  <c r="O31" i="24232"/>
  <c r="O44" i="24232"/>
  <c r="F26" i="24232"/>
  <c r="F31" i="24232"/>
  <c r="O15" i="24232"/>
  <c r="F46" i="24232"/>
  <c r="F36" i="24232"/>
  <c r="O23" i="24232"/>
  <c r="O37" i="24232"/>
  <c r="O51" i="24232"/>
  <c r="O58" i="24232"/>
  <c r="O90" i="24232"/>
  <c r="O188" i="24232"/>
  <c r="G41" i="24232"/>
  <c r="G16" i="3"/>
  <c r="G11" i="3"/>
  <c r="G26" i="3"/>
  <c r="G21" i="3"/>
  <c r="P14" i="3"/>
  <c r="P7" i="3"/>
  <c r="G6" i="24232"/>
  <c r="G11" i="24232"/>
  <c r="P9" i="24232"/>
  <c r="G16" i="24232"/>
  <c r="G21" i="24232"/>
  <c r="P31" i="24232"/>
  <c r="P44" i="24232"/>
  <c r="G26" i="24232"/>
  <c r="G31" i="24232"/>
  <c r="P15" i="24232"/>
  <c r="G46" i="24232"/>
  <c r="G36" i="24232"/>
  <c r="P23" i="24232"/>
  <c r="P37" i="24232"/>
  <c r="P51" i="24232"/>
  <c r="P58" i="24232"/>
  <c r="P90" i="24232"/>
  <c r="P188" i="24232"/>
  <c r="H41" i="24232"/>
  <c r="H16" i="3"/>
  <c r="H11" i="3"/>
  <c r="H26" i="3"/>
  <c r="H21" i="3"/>
  <c r="Q14" i="3"/>
  <c r="Q7" i="3"/>
  <c r="H6" i="24232"/>
  <c r="H11" i="24232"/>
  <c r="Q9" i="24232"/>
  <c r="H16" i="24232"/>
  <c r="H21" i="24232"/>
  <c r="Q31" i="24232"/>
  <c r="Q44" i="24232"/>
  <c r="H26" i="24232"/>
  <c r="H31" i="24232"/>
  <c r="Q15" i="24232"/>
  <c r="H46" i="24232"/>
  <c r="H36" i="24232"/>
  <c r="Q23" i="24232"/>
  <c r="Q37" i="24232"/>
  <c r="Q51" i="24232"/>
  <c r="Q58" i="24232"/>
  <c r="Q90" i="24232"/>
  <c r="Q188" i="24232"/>
  <c r="D42" i="24232"/>
  <c r="D17" i="3"/>
  <c r="D12" i="3"/>
  <c r="D27" i="3"/>
  <c r="D22" i="3"/>
  <c r="M15" i="3"/>
  <c r="M8" i="3"/>
  <c r="D7" i="24232"/>
  <c r="D12" i="24232"/>
  <c r="M10" i="24232"/>
  <c r="D17" i="24232"/>
  <c r="D22" i="24232"/>
  <c r="M32" i="24232"/>
  <c r="M45" i="24232"/>
  <c r="D27" i="24232"/>
  <c r="D32" i="24232"/>
  <c r="M16" i="24232"/>
  <c r="D47" i="24232"/>
  <c r="D37" i="24232"/>
  <c r="M24" i="24232"/>
  <c r="M38" i="24232"/>
  <c r="M52" i="24232"/>
  <c r="M59" i="24232"/>
  <c r="M91" i="24232"/>
  <c r="M189" i="24232"/>
  <c r="E42" i="24232"/>
  <c r="E17" i="3"/>
  <c r="E12" i="3"/>
  <c r="E27" i="3"/>
  <c r="E22" i="3"/>
  <c r="N15" i="3"/>
  <c r="N8" i="3"/>
  <c r="E7" i="24232"/>
  <c r="E12" i="24232"/>
  <c r="N10" i="24232"/>
  <c r="E17" i="24232"/>
  <c r="E22" i="24232"/>
  <c r="N32" i="24232"/>
  <c r="N45" i="24232"/>
  <c r="E27" i="24232"/>
  <c r="E32" i="24232"/>
  <c r="N16" i="24232"/>
  <c r="E47" i="24232"/>
  <c r="E37" i="24232"/>
  <c r="N24" i="24232"/>
  <c r="N38" i="24232"/>
  <c r="N52" i="24232"/>
  <c r="N59" i="24232"/>
  <c r="N91" i="24232"/>
  <c r="N189" i="24232"/>
  <c r="F42" i="24232"/>
  <c r="F17" i="3"/>
  <c r="F12" i="3"/>
  <c r="F27" i="3"/>
  <c r="F22" i="3"/>
  <c r="O15" i="3"/>
  <c r="O8" i="3"/>
  <c r="F7" i="24232"/>
  <c r="F12" i="24232"/>
  <c r="O10" i="24232"/>
  <c r="F17" i="24232"/>
  <c r="F22" i="24232"/>
  <c r="O32" i="24232"/>
  <c r="O45" i="24232"/>
  <c r="F27" i="24232"/>
  <c r="F32" i="24232"/>
  <c r="O16" i="24232"/>
  <c r="F47" i="24232"/>
  <c r="F37" i="24232"/>
  <c r="O24" i="24232"/>
  <c r="O38" i="24232"/>
  <c r="O52" i="24232"/>
  <c r="O59" i="24232"/>
  <c r="O91" i="24232"/>
  <c r="O189" i="24232"/>
  <c r="G42" i="24232"/>
  <c r="G17" i="3"/>
  <c r="G12" i="3"/>
  <c r="G27" i="3"/>
  <c r="G22" i="3"/>
  <c r="P15" i="3"/>
  <c r="P8" i="3"/>
  <c r="G7" i="24232"/>
  <c r="G12" i="24232"/>
  <c r="P10" i="24232"/>
  <c r="G17" i="24232"/>
  <c r="G22" i="24232"/>
  <c r="P32" i="24232"/>
  <c r="P45" i="24232"/>
  <c r="G27" i="24232"/>
  <c r="G32" i="24232"/>
  <c r="P16" i="24232"/>
  <c r="G47" i="24232"/>
  <c r="G37" i="24232"/>
  <c r="P24" i="24232"/>
  <c r="P38" i="24232"/>
  <c r="P52" i="24232"/>
  <c r="P59" i="24232"/>
  <c r="P91" i="24232"/>
  <c r="P189" i="24232"/>
  <c r="H42" i="24232"/>
  <c r="H17" i="3"/>
  <c r="H12" i="3"/>
  <c r="H27" i="3"/>
  <c r="H22" i="3"/>
  <c r="Q15" i="3"/>
  <c r="Q8" i="3"/>
  <c r="H7" i="24232"/>
  <c r="H12" i="24232"/>
  <c r="Q10" i="24232"/>
  <c r="H17" i="24232"/>
  <c r="H22" i="24232"/>
  <c r="Q32" i="24232"/>
  <c r="Q45" i="24232"/>
  <c r="H27" i="24232"/>
  <c r="H32" i="24232"/>
  <c r="Q16" i="24232"/>
  <c r="H47" i="24232"/>
  <c r="H37" i="24232"/>
  <c r="Q24" i="24232"/>
  <c r="Q38" i="24232"/>
  <c r="Q52" i="24232"/>
  <c r="Q59" i="24232"/>
  <c r="Q91" i="24232"/>
  <c r="Q189" i="24232"/>
  <c r="D43" i="24232"/>
  <c r="D18" i="3"/>
  <c r="D13" i="3"/>
  <c r="D28" i="3"/>
  <c r="D23" i="3"/>
  <c r="M16" i="3"/>
  <c r="M9" i="3"/>
  <c r="D8" i="24232"/>
  <c r="D13" i="24232"/>
  <c r="M11" i="24232"/>
  <c r="D18" i="24232"/>
  <c r="D23" i="24232"/>
  <c r="M33" i="24232"/>
  <c r="M46" i="24232"/>
  <c r="D28" i="24232"/>
  <c r="D33" i="24232"/>
  <c r="M17" i="24232"/>
  <c r="D48" i="24232"/>
  <c r="D38" i="24232"/>
  <c r="M25" i="24232"/>
  <c r="M39" i="24232"/>
  <c r="M53" i="24232"/>
  <c r="M60" i="24232"/>
  <c r="M92" i="24232"/>
  <c r="M190" i="24232"/>
  <c r="E43" i="24232"/>
  <c r="E18" i="3"/>
  <c r="E13" i="3"/>
  <c r="E28" i="3"/>
  <c r="E23" i="3"/>
  <c r="N16" i="3"/>
  <c r="N9" i="3"/>
  <c r="E8" i="24232"/>
  <c r="E13" i="24232"/>
  <c r="N11" i="24232"/>
  <c r="E18" i="24232"/>
  <c r="E23" i="24232"/>
  <c r="N33" i="24232"/>
  <c r="N46" i="24232"/>
  <c r="E28" i="24232"/>
  <c r="E33" i="24232"/>
  <c r="N17" i="24232"/>
  <c r="E48" i="24232"/>
  <c r="E38" i="24232"/>
  <c r="N25" i="24232"/>
  <c r="N39" i="24232"/>
  <c r="N53" i="24232"/>
  <c r="N60" i="24232"/>
  <c r="N92" i="24232"/>
  <c r="N190" i="24232"/>
  <c r="F43" i="24232"/>
  <c r="F18" i="3"/>
  <c r="F13" i="3"/>
  <c r="F28" i="3"/>
  <c r="F23" i="3"/>
  <c r="O16" i="3"/>
  <c r="O9" i="3"/>
  <c r="F8" i="24232"/>
  <c r="F13" i="24232"/>
  <c r="O11" i="24232"/>
  <c r="F18" i="24232"/>
  <c r="F23" i="24232"/>
  <c r="O33" i="24232"/>
  <c r="O46" i="24232"/>
  <c r="F28" i="24232"/>
  <c r="F33" i="24232"/>
  <c r="O17" i="24232"/>
  <c r="F48" i="24232"/>
  <c r="F38" i="24232"/>
  <c r="O25" i="24232"/>
  <c r="O39" i="24232"/>
  <c r="O53" i="24232"/>
  <c r="O60" i="24232"/>
  <c r="O92" i="24232"/>
  <c r="O190" i="24232"/>
  <c r="G43" i="24232"/>
  <c r="G18" i="3"/>
  <c r="G13" i="3"/>
  <c r="G28" i="3"/>
  <c r="G23" i="3"/>
  <c r="P16" i="3"/>
  <c r="P9" i="3"/>
  <c r="G8" i="24232"/>
  <c r="G13" i="24232"/>
  <c r="P11" i="24232"/>
  <c r="G18" i="24232"/>
  <c r="G23" i="24232"/>
  <c r="P33" i="24232"/>
  <c r="P46" i="24232"/>
  <c r="G28" i="24232"/>
  <c r="G33" i="24232"/>
  <c r="P17" i="24232"/>
  <c r="G48" i="24232"/>
  <c r="G38" i="24232"/>
  <c r="P25" i="24232"/>
  <c r="P39" i="24232"/>
  <c r="P53" i="24232"/>
  <c r="P60" i="24232"/>
  <c r="P92" i="24232"/>
  <c r="P190" i="24232"/>
  <c r="H43" i="24232"/>
  <c r="H18" i="3"/>
  <c r="H13" i="3"/>
  <c r="H28" i="3"/>
  <c r="H23" i="3"/>
  <c r="Q16" i="3"/>
  <c r="Q9" i="3"/>
  <c r="H8" i="24232"/>
  <c r="H13" i="24232"/>
  <c r="Q11" i="24232"/>
  <c r="H18" i="24232"/>
  <c r="H23" i="24232"/>
  <c r="Q33" i="24232"/>
  <c r="Q46" i="24232"/>
  <c r="H28" i="24232"/>
  <c r="H33" i="24232"/>
  <c r="Q17" i="24232"/>
  <c r="H48" i="24232"/>
  <c r="H38" i="24232"/>
  <c r="Q25" i="24232"/>
  <c r="Q39" i="24232"/>
  <c r="Q53" i="24232"/>
  <c r="Q60" i="24232"/>
  <c r="Q92" i="24232"/>
  <c r="Q190" i="24232"/>
  <c r="L198" i="24232"/>
  <c r="C15" i="24239"/>
  <c r="M195" i="24232"/>
  <c r="L199" i="24232"/>
  <c r="L200" i="24232"/>
  <c r="C62" i="24232"/>
  <c r="M69" i="24232"/>
  <c r="M143" i="24232"/>
  <c r="D62" i="24232"/>
  <c r="M74" i="24232"/>
  <c r="M148" i="24232"/>
  <c r="E62" i="24232"/>
  <c r="M79" i="24232"/>
  <c r="M153" i="24232"/>
  <c r="F62" i="24232"/>
  <c r="M84" i="24232"/>
  <c r="M158" i="24232"/>
  <c r="M163" i="24232"/>
  <c r="M168" i="24232"/>
  <c r="C63" i="24232"/>
  <c r="N69" i="24232"/>
  <c r="N143" i="24232"/>
  <c r="D63" i="24232"/>
  <c r="N74" i="24232"/>
  <c r="N148" i="24232"/>
  <c r="E63" i="24232"/>
  <c r="N79" i="24232"/>
  <c r="N153" i="24232"/>
  <c r="F98" i="24238"/>
  <c r="F63" i="24232"/>
  <c r="N84" i="24232"/>
  <c r="N158" i="24232"/>
  <c r="N163" i="24232"/>
  <c r="N168" i="24232"/>
  <c r="O69" i="24232"/>
  <c r="O143" i="24232"/>
  <c r="O74" i="24232"/>
  <c r="O148" i="24232"/>
  <c r="O79" i="24232"/>
  <c r="O153" i="24232"/>
  <c r="O84" i="24232"/>
  <c r="O158" i="24232"/>
  <c r="O163" i="24232"/>
  <c r="O168" i="24232"/>
  <c r="P69" i="24232"/>
  <c r="P143" i="24232"/>
  <c r="P74" i="24232"/>
  <c r="P148" i="24232"/>
  <c r="P79" i="24232"/>
  <c r="P153" i="24232"/>
  <c r="P84" i="24232"/>
  <c r="P158" i="24232"/>
  <c r="P163" i="24232"/>
  <c r="P168" i="24232"/>
  <c r="Q69" i="24232"/>
  <c r="Q143" i="24232"/>
  <c r="Q74" i="24232"/>
  <c r="Q148" i="24232"/>
  <c r="Q79" i="24232"/>
  <c r="Q153" i="24232"/>
  <c r="Q84" i="24232"/>
  <c r="Q158" i="24232"/>
  <c r="Q163" i="24232"/>
  <c r="Q168" i="24232"/>
  <c r="M70" i="24232"/>
  <c r="M144" i="24232"/>
  <c r="M75" i="24232"/>
  <c r="M149" i="24232"/>
  <c r="M80" i="24232"/>
  <c r="M154" i="24232"/>
  <c r="M85" i="24232"/>
  <c r="M159" i="24232"/>
  <c r="M164" i="24232"/>
  <c r="M169" i="24232"/>
  <c r="N70" i="24232"/>
  <c r="N144" i="24232"/>
  <c r="N75" i="24232"/>
  <c r="N149" i="24232"/>
  <c r="N80" i="24232"/>
  <c r="N154" i="24232"/>
  <c r="N85" i="24232"/>
  <c r="N159" i="24232"/>
  <c r="N164" i="24232"/>
  <c r="N169" i="24232"/>
  <c r="O70" i="24232"/>
  <c r="O144" i="24232"/>
  <c r="O75" i="24232"/>
  <c r="O149" i="24232"/>
  <c r="O80" i="24232"/>
  <c r="O154" i="24232"/>
  <c r="O85" i="24232"/>
  <c r="O159" i="24232"/>
  <c r="O164" i="24232"/>
  <c r="O169" i="24232"/>
  <c r="P70" i="24232"/>
  <c r="P144" i="24232"/>
  <c r="P75" i="24232"/>
  <c r="P149" i="24232"/>
  <c r="P80" i="24232"/>
  <c r="P154" i="24232"/>
  <c r="P85" i="24232"/>
  <c r="P159" i="24232"/>
  <c r="P164" i="24232"/>
  <c r="P169" i="24232"/>
  <c r="Q70" i="24232"/>
  <c r="Q144" i="24232"/>
  <c r="Q75" i="24232"/>
  <c r="Q149" i="24232"/>
  <c r="Q80" i="24232"/>
  <c r="Q154" i="24232"/>
  <c r="Q85" i="24232"/>
  <c r="Q159" i="24232"/>
  <c r="Q164" i="24232"/>
  <c r="Q169" i="24232"/>
  <c r="M71" i="24232"/>
  <c r="M145" i="24232"/>
  <c r="M76" i="24232"/>
  <c r="M150" i="24232"/>
  <c r="M81" i="24232"/>
  <c r="M155" i="24232"/>
  <c r="M86" i="24232"/>
  <c r="M160" i="24232"/>
  <c r="M165" i="24232"/>
  <c r="M170" i="24232"/>
  <c r="N71" i="24232"/>
  <c r="N145" i="24232"/>
  <c r="N76" i="24232"/>
  <c r="N150" i="24232"/>
  <c r="N81" i="24232"/>
  <c r="N155" i="24232"/>
  <c r="N86" i="24232"/>
  <c r="N160" i="24232"/>
  <c r="N165" i="24232"/>
  <c r="N170" i="24232"/>
  <c r="O71" i="24232"/>
  <c r="O145" i="24232"/>
  <c r="O76" i="24232"/>
  <c r="O150" i="24232"/>
  <c r="O81" i="24232"/>
  <c r="O155" i="24232"/>
  <c r="O86" i="24232"/>
  <c r="O160" i="24232"/>
  <c r="O165" i="24232"/>
  <c r="O170" i="24232"/>
  <c r="P71" i="24232"/>
  <c r="P145" i="24232"/>
  <c r="P76" i="24232"/>
  <c r="P150" i="24232"/>
  <c r="P81" i="24232"/>
  <c r="P155" i="24232"/>
  <c r="P86" i="24232"/>
  <c r="P160" i="24232"/>
  <c r="P165" i="24232"/>
  <c r="P170" i="24232"/>
  <c r="Q71" i="24232"/>
  <c r="Q145" i="24232"/>
  <c r="Q76" i="24232"/>
  <c r="Q150" i="24232"/>
  <c r="Q81" i="24232"/>
  <c r="Q155" i="24232"/>
  <c r="Q86" i="24232"/>
  <c r="Q160" i="24232"/>
  <c r="Q165" i="24232"/>
  <c r="Q170" i="24232"/>
  <c r="M72" i="24232"/>
  <c r="M146" i="24232"/>
  <c r="M77" i="24232"/>
  <c r="M151" i="24232"/>
  <c r="M82" i="24232"/>
  <c r="M156" i="24232"/>
  <c r="M87" i="24232"/>
  <c r="M161" i="24232"/>
  <c r="M166" i="24232"/>
  <c r="M171" i="24232"/>
  <c r="N72" i="24232"/>
  <c r="N146" i="24232"/>
  <c r="N77" i="24232"/>
  <c r="N151" i="24232"/>
  <c r="N82" i="24232"/>
  <c r="N156" i="24232"/>
  <c r="N87" i="24232"/>
  <c r="N161" i="24232"/>
  <c r="N166" i="24232"/>
  <c r="N171" i="24232"/>
  <c r="O72" i="24232"/>
  <c r="O146" i="24232"/>
  <c r="O77" i="24232"/>
  <c r="O151" i="24232"/>
  <c r="O82" i="24232"/>
  <c r="O156" i="24232"/>
  <c r="O87" i="24232"/>
  <c r="O161" i="24232"/>
  <c r="O166" i="24232"/>
  <c r="O171" i="24232"/>
  <c r="P72" i="24232"/>
  <c r="P146" i="24232"/>
  <c r="P77" i="24232"/>
  <c r="P151" i="24232"/>
  <c r="P82" i="24232"/>
  <c r="P156" i="24232"/>
  <c r="P87" i="24232"/>
  <c r="P161" i="24232"/>
  <c r="P166" i="24232"/>
  <c r="P171" i="24232"/>
  <c r="Q72" i="24232"/>
  <c r="Q146" i="24232"/>
  <c r="Q77" i="24232"/>
  <c r="Q151" i="24232"/>
  <c r="Q82" i="24232"/>
  <c r="Q156" i="24232"/>
  <c r="Q87" i="24232"/>
  <c r="Q161" i="24232"/>
  <c r="Q166" i="24232"/>
  <c r="Q171" i="24232"/>
  <c r="B72" i="24232"/>
  <c r="D72" i="24232"/>
  <c r="N174" i="24232"/>
  <c r="N175" i="24232"/>
  <c r="L177" i="24232"/>
  <c r="L178" i="24232"/>
  <c r="L179" i="24232"/>
  <c r="L202" i="24232"/>
  <c r="N98" i="24232"/>
  <c r="M102" i="24232"/>
  <c r="M107" i="24232"/>
  <c r="M112" i="24232"/>
  <c r="M117" i="24232"/>
  <c r="M122" i="24232"/>
  <c r="M127" i="24232"/>
  <c r="N102" i="24232"/>
  <c r="N107" i="24232"/>
  <c r="N112" i="24232"/>
  <c r="N117" i="24232"/>
  <c r="N122" i="24232"/>
  <c r="N127" i="24232"/>
  <c r="O102" i="24232"/>
  <c r="O107" i="24232"/>
  <c r="O112" i="24232"/>
  <c r="O117" i="24232"/>
  <c r="O122" i="24232"/>
  <c r="O127" i="24232"/>
  <c r="P102" i="24232"/>
  <c r="P107" i="24232"/>
  <c r="P112" i="24232"/>
  <c r="P117" i="24232"/>
  <c r="P122" i="24232"/>
  <c r="P127" i="24232"/>
  <c r="Q102" i="24232"/>
  <c r="Q107" i="24232"/>
  <c r="Q112" i="24232"/>
  <c r="Q117" i="24232"/>
  <c r="Q122" i="24232"/>
  <c r="Q127" i="24232"/>
  <c r="M103" i="24232"/>
  <c r="M108" i="24232"/>
  <c r="M113" i="24232"/>
  <c r="M118" i="24232"/>
  <c r="M123" i="24232"/>
  <c r="M128" i="24232"/>
  <c r="N103" i="24232"/>
  <c r="N108" i="24232"/>
  <c r="N113" i="24232"/>
  <c r="N118" i="24232"/>
  <c r="N123" i="24232"/>
  <c r="N128" i="24232"/>
  <c r="O103" i="24232"/>
  <c r="O108" i="24232"/>
  <c r="O113" i="24232"/>
  <c r="O118" i="24232"/>
  <c r="O123" i="24232"/>
  <c r="O128" i="24232"/>
  <c r="P103" i="24232"/>
  <c r="P108" i="24232"/>
  <c r="P113" i="24232"/>
  <c r="P118" i="24232"/>
  <c r="P123" i="24232"/>
  <c r="P128" i="24232"/>
  <c r="Q103" i="24232"/>
  <c r="Q108" i="24232"/>
  <c r="Q113" i="24232"/>
  <c r="Q118" i="24232"/>
  <c r="Q123" i="24232"/>
  <c r="Q128" i="24232"/>
  <c r="M104" i="24232"/>
  <c r="M109" i="24232"/>
  <c r="M114" i="24232"/>
  <c r="M119" i="24232"/>
  <c r="M124" i="24232"/>
  <c r="M129" i="24232"/>
  <c r="N104" i="24232"/>
  <c r="N109" i="24232"/>
  <c r="N114" i="24232"/>
  <c r="N119" i="24232"/>
  <c r="N124" i="24232"/>
  <c r="N129" i="24232"/>
  <c r="O104" i="24232"/>
  <c r="O109" i="24232"/>
  <c r="O114" i="24232"/>
  <c r="O119" i="24232"/>
  <c r="O124" i="24232"/>
  <c r="O129" i="24232"/>
  <c r="P104" i="24232"/>
  <c r="P109" i="24232"/>
  <c r="P114" i="24232"/>
  <c r="P119" i="24232"/>
  <c r="P124" i="24232"/>
  <c r="P129" i="24232"/>
  <c r="Q104" i="24232"/>
  <c r="Q109" i="24232"/>
  <c r="Q114" i="24232"/>
  <c r="Q119" i="24232"/>
  <c r="Q124" i="24232"/>
  <c r="Q129" i="24232"/>
  <c r="M105" i="24232"/>
  <c r="M110" i="24232"/>
  <c r="M115" i="24232"/>
  <c r="M120" i="24232"/>
  <c r="M125" i="24232"/>
  <c r="M130" i="24232"/>
  <c r="N105" i="24232"/>
  <c r="N110" i="24232"/>
  <c r="N115" i="24232"/>
  <c r="N120" i="24232"/>
  <c r="N125" i="24232"/>
  <c r="N130" i="24232"/>
  <c r="O105" i="24232"/>
  <c r="O110" i="24232"/>
  <c r="O115" i="24232"/>
  <c r="O120" i="24232"/>
  <c r="O125" i="24232"/>
  <c r="O130" i="24232"/>
  <c r="P105" i="24232"/>
  <c r="P110" i="24232"/>
  <c r="P115" i="24232"/>
  <c r="P120" i="24232"/>
  <c r="P125" i="24232"/>
  <c r="P130" i="24232"/>
  <c r="Q105" i="24232"/>
  <c r="Q110" i="24232"/>
  <c r="Q115" i="24232"/>
  <c r="Q120" i="24232"/>
  <c r="Q125" i="24232"/>
  <c r="Q130" i="24232"/>
  <c r="L132" i="24232"/>
  <c r="L133" i="24232"/>
  <c r="L134" i="24232"/>
  <c r="L203" i="24232"/>
  <c r="L13" i="2"/>
  <c r="H6" i="515"/>
  <c r="H11" i="515"/>
  <c r="H16" i="515"/>
  <c r="Q7" i="515"/>
  <c r="C40" i="515"/>
  <c r="C24" i="515"/>
  <c r="K20" i="515"/>
  <c r="Q19" i="515"/>
  <c r="D40" i="515"/>
  <c r="K25" i="515"/>
  <c r="Q24" i="515"/>
  <c r="E40" i="515"/>
  <c r="K30" i="515"/>
  <c r="Q29" i="515"/>
  <c r="F40" i="515"/>
  <c r="K35" i="515"/>
  <c r="Q34" i="515"/>
  <c r="G40" i="515"/>
  <c r="K40" i="515"/>
  <c r="Q39" i="515"/>
  <c r="Q44" i="515"/>
  <c r="Q51" i="515"/>
  <c r="Q54" i="515"/>
  <c r="H7" i="515"/>
  <c r="H12" i="515"/>
  <c r="H17" i="515"/>
  <c r="Q8" i="515"/>
  <c r="Q20" i="515"/>
  <c r="Q25" i="515"/>
  <c r="Q30" i="515"/>
  <c r="Q35" i="515"/>
  <c r="Q40" i="515"/>
  <c r="Q45" i="515"/>
  <c r="Q55" i="515"/>
  <c r="H8" i="515"/>
  <c r="H13" i="515"/>
  <c r="H18" i="515"/>
  <c r="Q9" i="515"/>
  <c r="Q21" i="515"/>
  <c r="Q26" i="515"/>
  <c r="Q31" i="515"/>
  <c r="Q36" i="515"/>
  <c r="Q41" i="515"/>
  <c r="Q46" i="515"/>
  <c r="Q56" i="515"/>
  <c r="H5" i="515"/>
  <c r="H10" i="515"/>
  <c r="H15" i="515"/>
  <c r="Q6" i="515"/>
  <c r="Q18" i="515"/>
  <c r="Q23" i="515"/>
  <c r="Q28" i="515"/>
  <c r="Q33" i="515"/>
  <c r="Q38" i="515"/>
  <c r="Q43" i="515"/>
  <c r="Q53" i="515"/>
  <c r="F6" i="515"/>
  <c r="F11" i="515"/>
  <c r="F16" i="515"/>
  <c r="O7" i="515"/>
  <c r="O19" i="515"/>
  <c r="O24" i="515"/>
  <c r="O29" i="515"/>
  <c r="O34" i="515"/>
  <c r="O39" i="515"/>
  <c r="O44" i="515"/>
  <c r="O51" i="515"/>
  <c r="O54" i="515"/>
  <c r="F7" i="515"/>
  <c r="F12" i="515"/>
  <c r="F17" i="515"/>
  <c r="O8" i="515"/>
  <c r="O20" i="515"/>
  <c r="O25" i="515"/>
  <c r="O30" i="515"/>
  <c r="O35" i="515"/>
  <c r="O40" i="515"/>
  <c r="O45" i="515"/>
  <c r="O55" i="515"/>
  <c r="F8" i="515"/>
  <c r="F13" i="515"/>
  <c r="F18" i="515"/>
  <c r="O9" i="515"/>
  <c r="O21" i="515"/>
  <c r="O26" i="515"/>
  <c r="O31" i="515"/>
  <c r="O36" i="515"/>
  <c r="O41" i="515"/>
  <c r="O46" i="515"/>
  <c r="O56" i="515"/>
  <c r="F5" i="515"/>
  <c r="F10" i="515"/>
  <c r="F15" i="515"/>
  <c r="O6" i="515"/>
  <c r="O18" i="515"/>
  <c r="O23" i="515"/>
  <c r="O28" i="515"/>
  <c r="O33" i="515"/>
  <c r="O38" i="515"/>
  <c r="O43" i="515"/>
  <c r="O53" i="515"/>
  <c r="G6" i="515"/>
  <c r="G11" i="515"/>
  <c r="G16" i="515"/>
  <c r="P7" i="515"/>
  <c r="P19" i="515"/>
  <c r="P24" i="515"/>
  <c r="P29" i="515"/>
  <c r="P34" i="515"/>
  <c r="P39" i="515"/>
  <c r="P44" i="515"/>
  <c r="P54" i="515"/>
  <c r="G7" i="515"/>
  <c r="G12" i="515"/>
  <c r="G17" i="515"/>
  <c r="P8" i="515"/>
  <c r="P20" i="515"/>
  <c r="P25" i="515"/>
  <c r="P30" i="515"/>
  <c r="P35" i="515"/>
  <c r="P40" i="515"/>
  <c r="P45" i="515"/>
  <c r="P55" i="515"/>
  <c r="G8" i="515"/>
  <c r="G13" i="515"/>
  <c r="G18" i="515"/>
  <c r="P9" i="515"/>
  <c r="P21" i="515"/>
  <c r="P26" i="515"/>
  <c r="P31" i="515"/>
  <c r="P36" i="515"/>
  <c r="P41" i="515"/>
  <c r="P46" i="515"/>
  <c r="P56" i="515"/>
  <c r="G5" i="515"/>
  <c r="G10" i="515"/>
  <c r="G15" i="515"/>
  <c r="P6" i="515"/>
  <c r="P18" i="515"/>
  <c r="P23" i="515"/>
  <c r="P28" i="515"/>
  <c r="P33" i="515"/>
  <c r="P38" i="515"/>
  <c r="P43" i="515"/>
  <c r="P53" i="515"/>
  <c r="E6" i="515"/>
  <c r="E11" i="515"/>
  <c r="E16" i="515"/>
  <c r="N7" i="515"/>
  <c r="N19" i="515"/>
  <c r="N24" i="515"/>
  <c r="N29" i="515"/>
  <c r="N34" i="515"/>
  <c r="N39" i="515"/>
  <c r="N44" i="515"/>
  <c r="N54" i="515"/>
  <c r="E7" i="515"/>
  <c r="E12" i="515"/>
  <c r="E17" i="515"/>
  <c r="N8" i="515"/>
  <c r="N20" i="515"/>
  <c r="N25" i="515"/>
  <c r="N30" i="515"/>
  <c r="N35" i="515"/>
  <c r="N40" i="515"/>
  <c r="N45" i="515"/>
  <c r="N55" i="515"/>
  <c r="E8" i="515"/>
  <c r="E13" i="515"/>
  <c r="E18" i="515"/>
  <c r="N9" i="515"/>
  <c r="N21" i="515"/>
  <c r="N26" i="515"/>
  <c r="N31" i="515"/>
  <c r="N36" i="515"/>
  <c r="N41" i="515"/>
  <c r="N46" i="515"/>
  <c r="N56" i="515"/>
  <c r="E5" i="515"/>
  <c r="E10" i="515"/>
  <c r="E15" i="515"/>
  <c r="N6" i="515"/>
  <c r="N18" i="515"/>
  <c r="N23" i="515"/>
  <c r="N28" i="515"/>
  <c r="N33" i="515"/>
  <c r="N38" i="515"/>
  <c r="N43" i="515"/>
  <c r="N53" i="515"/>
  <c r="D6" i="515"/>
  <c r="D11" i="515"/>
  <c r="D16" i="515"/>
  <c r="M7" i="515"/>
  <c r="C39" i="515"/>
  <c r="M19" i="515"/>
  <c r="D39" i="515"/>
  <c r="M24" i="515"/>
  <c r="E39" i="515"/>
  <c r="M29" i="515"/>
  <c r="F39" i="515"/>
  <c r="M34" i="515"/>
  <c r="G39" i="515"/>
  <c r="M39" i="515"/>
  <c r="M44" i="515"/>
  <c r="M54" i="515"/>
  <c r="D7" i="515"/>
  <c r="D12" i="515"/>
  <c r="D17" i="515"/>
  <c r="M8" i="515"/>
  <c r="M20" i="515"/>
  <c r="M25" i="515"/>
  <c r="M30" i="515"/>
  <c r="M35" i="515"/>
  <c r="M40" i="515"/>
  <c r="M45" i="515"/>
  <c r="M55" i="515"/>
  <c r="D8" i="515"/>
  <c r="D13" i="515"/>
  <c r="D18" i="515"/>
  <c r="M9" i="515"/>
  <c r="M21" i="515"/>
  <c r="M26" i="515"/>
  <c r="M31" i="515"/>
  <c r="M36" i="515"/>
  <c r="M41" i="515"/>
  <c r="M46" i="515"/>
  <c r="M56" i="515"/>
  <c r="D5" i="515"/>
  <c r="D10" i="515"/>
  <c r="D15" i="515"/>
  <c r="M6" i="515"/>
  <c r="M18" i="515"/>
  <c r="M23" i="515"/>
  <c r="M28" i="515"/>
  <c r="M33" i="515"/>
  <c r="M38" i="515"/>
  <c r="M43" i="515"/>
  <c r="M53" i="515"/>
  <c r="L58" i="515"/>
  <c r="D5" i="3"/>
  <c r="M20" i="3"/>
  <c r="M30" i="3"/>
  <c r="E5" i="3"/>
  <c r="N20" i="3"/>
  <c r="N30" i="3"/>
  <c r="F5" i="3"/>
  <c r="O20" i="3"/>
  <c r="O30" i="3"/>
  <c r="G5" i="3"/>
  <c r="P20" i="3"/>
  <c r="P30" i="3"/>
  <c r="H5" i="3"/>
  <c r="Q20" i="3"/>
  <c r="Q30" i="3"/>
  <c r="D6" i="3"/>
  <c r="M21" i="3"/>
  <c r="M31" i="3"/>
  <c r="E6" i="3"/>
  <c r="N21" i="3"/>
  <c r="N31" i="3"/>
  <c r="F6" i="3"/>
  <c r="O21" i="3"/>
  <c r="O31" i="3"/>
  <c r="G6" i="3"/>
  <c r="P21" i="3"/>
  <c r="P31" i="3"/>
  <c r="H6" i="3"/>
  <c r="Q21" i="3"/>
  <c r="Q31" i="3"/>
  <c r="D7" i="3"/>
  <c r="M22" i="3"/>
  <c r="M32" i="3"/>
  <c r="E7" i="3"/>
  <c r="N22" i="3"/>
  <c r="N32" i="3"/>
  <c r="F7" i="3"/>
  <c r="O22" i="3"/>
  <c r="O32" i="3"/>
  <c r="G7" i="3"/>
  <c r="P22" i="3"/>
  <c r="P32" i="3"/>
  <c r="H7" i="3"/>
  <c r="Q22" i="3"/>
  <c r="Q32" i="3"/>
  <c r="D8" i="3"/>
  <c r="M23" i="3"/>
  <c r="M33" i="3"/>
  <c r="E8" i="3"/>
  <c r="N23" i="3"/>
  <c r="N33" i="3"/>
  <c r="F8" i="3"/>
  <c r="O23" i="3"/>
  <c r="O33" i="3"/>
  <c r="G8" i="3"/>
  <c r="P23" i="3"/>
  <c r="P33" i="3"/>
  <c r="H8" i="3"/>
  <c r="Q23" i="3"/>
  <c r="Q33" i="3"/>
  <c r="L35" i="3"/>
  <c r="L36" i="3"/>
  <c r="L37" i="3"/>
  <c r="D6" i="8"/>
  <c r="D11" i="8"/>
  <c r="D43" i="8"/>
  <c r="D315" i="8"/>
  <c r="F6" i="8"/>
  <c r="F11" i="8"/>
  <c r="F43" i="8"/>
  <c r="F315" i="8"/>
  <c r="D7" i="8"/>
  <c r="D17" i="8"/>
  <c r="D49" i="8"/>
  <c r="D321" i="8"/>
  <c r="F7" i="8"/>
  <c r="F17" i="8"/>
  <c r="F49" i="8"/>
  <c r="F321" i="8"/>
  <c r="D111" i="8"/>
  <c r="D106" i="8"/>
  <c r="B143" i="8"/>
  <c r="D142" i="8"/>
  <c r="E106" i="8"/>
  <c r="B148" i="8"/>
  <c r="D147" i="8"/>
  <c r="F106" i="8"/>
  <c r="B153" i="8"/>
  <c r="B155" i="8"/>
  <c r="D152" i="8"/>
  <c r="G106" i="8"/>
  <c r="B158" i="8"/>
  <c r="B160" i="8"/>
  <c r="D116" i="8"/>
  <c r="D157" i="8"/>
  <c r="D162" i="8"/>
  <c r="D247" i="8"/>
  <c r="C106" i="8"/>
  <c r="D252" i="8"/>
  <c r="D257" i="8"/>
  <c r="D332" i="8"/>
  <c r="E111" i="8"/>
  <c r="D107" i="8"/>
  <c r="E142" i="8"/>
  <c r="E107" i="8"/>
  <c r="E147" i="8"/>
  <c r="F107" i="8"/>
  <c r="E152" i="8"/>
  <c r="G107" i="8"/>
  <c r="E116" i="8"/>
  <c r="E157" i="8"/>
  <c r="E162" i="8"/>
  <c r="E247" i="8"/>
  <c r="C107" i="8"/>
  <c r="E252" i="8"/>
  <c r="E257" i="8"/>
  <c r="E332" i="8"/>
  <c r="F111" i="8"/>
  <c r="F142" i="8"/>
  <c r="F147" i="8"/>
  <c r="F152" i="8"/>
  <c r="F116" i="8"/>
  <c r="F157" i="8"/>
  <c r="F162" i="8"/>
  <c r="F247" i="8"/>
  <c r="F252" i="8"/>
  <c r="F257" i="8"/>
  <c r="F332" i="8"/>
  <c r="G111" i="8"/>
  <c r="G142" i="8"/>
  <c r="G147" i="8"/>
  <c r="G152" i="8"/>
  <c r="G116" i="8"/>
  <c r="G157" i="8"/>
  <c r="G162" i="8"/>
  <c r="G247" i="8"/>
  <c r="G252" i="8"/>
  <c r="G257" i="8"/>
  <c r="G332" i="8"/>
  <c r="H111" i="8"/>
  <c r="H142" i="8"/>
  <c r="H147" i="8"/>
  <c r="H152" i="8"/>
  <c r="H116" i="8"/>
  <c r="H157" i="8"/>
  <c r="H162" i="8"/>
  <c r="H247" i="8"/>
  <c r="H252" i="8"/>
  <c r="H257" i="8"/>
  <c r="H332" i="8"/>
  <c r="D23" i="8"/>
  <c r="D61" i="8"/>
  <c r="G340" i="8"/>
  <c r="D343" i="8"/>
  <c r="F23" i="8"/>
  <c r="F61" i="8"/>
  <c r="F343" i="8"/>
  <c r="D29" i="8"/>
  <c r="D67" i="8"/>
  <c r="D349" i="8"/>
  <c r="F29" i="8"/>
  <c r="F67" i="8"/>
  <c r="F349" i="8"/>
  <c r="D357" i="8"/>
  <c r="D359" i="8"/>
  <c r="D233" i="8"/>
  <c r="F233" i="8"/>
  <c r="D239" i="8"/>
  <c r="F239" i="8"/>
  <c r="D265" i="8"/>
  <c r="E265" i="8"/>
  <c r="F265" i="8"/>
  <c r="G265" i="8"/>
  <c r="H265" i="8"/>
  <c r="D277" i="8"/>
  <c r="F277" i="8"/>
  <c r="D283" i="8"/>
  <c r="F283" i="8"/>
  <c r="E291" i="8"/>
  <c r="E293" i="8"/>
  <c r="F258" i="8"/>
  <c r="G258" i="8"/>
  <c r="H258" i="8"/>
  <c r="F259" i="8"/>
  <c r="G259" i="8"/>
  <c r="H259" i="8"/>
  <c r="F260" i="8"/>
  <c r="G260" i="8"/>
  <c r="H260" i="8"/>
  <c r="E258" i="8"/>
  <c r="E259" i="8"/>
  <c r="E260" i="8"/>
  <c r="D258" i="8"/>
  <c r="D259" i="8"/>
  <c r="D260" i="8"/>
  <c r="F253" i="8"/>
  <c r="G253" i="8"/>
  <c r="H253" i="8"/>
  <c r="F254" i="8"/>
  <c r="G254" i="8"/>
  <c r="H254" i="8"/>
  <c r="F255" i="8"/>
  <c r="G255" i="8"/>
  <c r="H255" i="8"/>
  <c r="E253" i="8"/>
  <c r="E254" i="8"/>
  <c r="E255" i="8"/>
  <c r="D253" i="8"/>
  <c r="D254" i="8"/>
  <c r="D255" i="8"/>
  <c r="D202" i="8"/>
  <c r="D214" i="8"/>
  <c r="D207" i="8"/>
  <c r="D216" i="8"/>
  <c r="D203" i="8"/>
  <c r="D208" i="8"/>
  <c r="D217" i="8"/>
  <c r="D204" i="8"/>
  <c r="D209" i="8"/>
  <c r="D218" i="8"/>
  <c r="D205" i="8"/>
  <c r="D210" i="8"/>
  <c r="D219" i="8"/>
  <c r="D221" i="8"/>
  <c r="E202" i="8"/>
  <c r="E207" i="8"/>
  <c r="E216" i="8"/>
  <c r="D220" i="8"/>
  <c r="F207" i="8"/>
  <c r="G207" i="8"/>
  <c r="H207" i="8"/>
  <c r="F208" i="8"/>
  <c r="G208" i="8"/>
  <c r="H208" i="8"/>
  <c r="F209" i="8"/>
  <c r="G209" i="8"/>
  <c r="H209" i="8"/>
  <c r="F210" i="8"/>
  <c r="G210" i="8"/>
  <c r="H210" i="8"/>
  <c r="E208" i="8"/>
  <c r="E209" i="8"/>
  <c r="E210" i="8"/>
  <c r="F202" i="8"/>
  <c r="G202" i="8"/>
  <c r="H202" i="8"/>
  <c r="F203" i="8"/>
  <c r="G203" i="8"/>
  <c r="H203" i="8"/>
  <c r="F204" i="8"/>
  <c r="G204" i="8"/>
  <c r="H204" i="8"/>
  <c r="F205" i="8"/>
  <c r="G205" i="8"/>
  <c r="H205" i="8"/>
  <c r="E203" i="8"/>
  <c r="E204" i="8"/>
  <c r="E205" i="8"/>
  <c r="E217" i="8"/>
  <c r="E218" i="8"/>
  <c r="E219" i="8"/>
  <c r="F216" i="8"/>
  <c r="G216" i="8"/>
  <c r="H216" i="8"/>
  <c r="F217" i="8"/>
  <c r="G217" i="8"/>
  <c r="H217" i="8"/>
  <c r="F218" i="8"/>
  <c r="G218" i="8"/>
  <c r="H218" i="8"/>
  <c r="F219" i="8"/>
  <c r="G219" i="8"/>
  <c r="H219" i="8"/>
  <c r="E112" i="8"/>
  <c r="E143" i="8"/>
  <c r="E148" i="8"/>
  <c r="E153" i="8"/>
  <c r="E117" i="8"/>
  <c r="E158" i="8"/>
  <c r="E163" i="8"/>
  <c r="F112" i="8"/>
  <c r="F143" i="8"/>
  <c r="F148" i="8"/>
  <c r="F153" i="8"/>
  <c r="F117" i="8"/>
  <c r="F158" i="8"/>
  <c r="F163" i="8"/>
  <c r="G112" i="8"/>
  <c r="G143" i="8"/>
  <c r="G148" i="8"/>
  <c r="G153" i="8"/>
  <c r="G117" i="8"/>
  <c r="G158" i="8"/>
  <c r="G163" i="8"/>
  <c r="H112" i="8"/>
  <c r="H143" i="8"/>
  <c r="H148" i="8"/>
  <c r="H153" i="8"/>
  <c r="H117" i="8"/>
  <c r="H158" i="8"/>
  <c r="H163" i="8"/>
  <c r="E113" i="8"/>
  <c r="E144" i="8"/>
  <c r="E149" i="8"/>
  <c r="E154" i="8"/>
  <c r="E118" i="8"/>
  <c r="E159" i="8"/>
  <c r="E164" i="8"/>
  <c r="F113" i="8"/>
  <c r="F144" i="8"/>
  <c r="F149" i="8"/>
  <c r="F154" i="8"/>
  <c r="F118" i="8"/>
  <c r="F159" i="8"/>
  <c r="F164" i="8"/>
  <c r="G113" i="8"/>
  <c r="G144" i="8"/>
  <c r="G149" i="8"/>
  <c r="G154" i="8"/>
  <c r="G118" i="8"/>
  <c r="G159" i="8"/>
  <c r="G164" i="8"/>
  <c r="H113" i="8"/>
  <c r="H144" i="8"/>
  <c r="H149" i="8"/>
  <c r="H154" i="8"/>
  <c r="H118" i="8"/>
  <c r="H159" i="8"/>
  <c r="H164" i="8"/>
  <c r="E114" i="8"/>
  <c r="E145" i="8"/>
  <c r="E150" i="8"/>
  <c r="E155" i="8"/>
  <c r="E119" i="8"/>
  <c r="E160" i="8"/>
  <c r="E165" i="8"/>
  <c r="F114" i="8"/>
  <c r="F145" i="8"/>
  <c r="F150" i="8"/>
  <c r="F155" i="8"/>
  <c r="F119" i="8"/>
  <c r="F160" i="8"/>
  <c r="F165" i="8"/>
  <c r="G114" i="8"/>
  <c r="G145" i="8"/>
  <c r="G150" i="8"/>
  <c r="G155" i="8"/>
  <c r="G119" i="8"/>
  <c r="G160" i="8"/>
  <c r="G165" i="8"/>
  <c r="H114" i="8"/>
  <c r="H145" i="8"/>
  <c r="H150" i="8"/>
  <c r="H155" i="8"/>
  <c r="H119" i="8"/>
  <c r="H160" i="8"/>
  <c r="H165" i="8"/>
  <c r="D112" i="8"/>
  <c r="D143" i="8"/>
  <c r="D148" i="8"/>
  <c r="D153" i="8"/>
  <c r="D117" i="8"/>
  <c r="D158" i="8"/>
  <c r="D163" i="8"/>
  <c r="D113" i="8"/>
  <c r="D144" i="8"/>
  <c r="D149" i="8"/>
  <c r="D154" i="8"/>
  <c r="D118" i="8"/>
  <c r="D159" i="8"/>
  <c r="D164" i="8"/>
  <c r="D114" i="8"/>
  <c r="D145" i="8"/>
  <c r="D150" i="8"/>
  <c r="D155" i="8"/>
  <c r="D119" i="8"/>
  <c r="D160" i="8"/>
  <c r="D165" i="8"/>
  <c r="D167" i="8"/>
  <c r="B138" i="8"/>
  <c r="D137" i="8"/>
  <c r="D171" i="8"/>
  <c r="D173" i="8"/>
  <c r="D174" i="8"/>
  <c r="D175" i="8"/>
  <c r="F137" i="8"/>
  <c r="G137" i="8"/>
  <c r="H137" i="8"/>
  <c r="F138" i="8"/>
  <c r="G138" i="8"/>
  <c r="H138" i="8"/>
  <c r="F139" i="8"/>
  <c r="G139" i="8"/>
  <c r="H139" i="8"/>
  <c r="F140" i="8"/>
  <c r="G140" i="8"/>
  <c r="H140" i="8"/>
  <c r="E138" i="8"/>
  <c r="E139" i="8"/>
  <c r="E140" i="8"/>
  <c r="E137" i="8"/>
  <c r="D138" i="8"/>
  <c r="D139" i="8"/>
  <c r="D140" i="8"/>
  <c r="D161" i="8"/>
  <c r="D156" i="8"/>
  <c r="D151" i="8"/>
  <c r="D146" i="8"/>
  <c r="D141" i="8"/>
  <c r="D19" i="8"/>
  <c r="D51" i="8"/>
  <c r="C80" i="8"/>
  <c r="C83" i="8"/>
  <c r="D96" i="8"/>
  <c r="M61" i="24232"/>
  <c r="K40" i="3"/>
  <c r="F19" i="8"/>
  <c r="F51" i="8"/>
  <c r="C78" i="8"/>
  <c r="F96" i="8"/>
  <c r="C81" i="8"/>
  <c r="D88" i="8"/>
  <c r="D12" i="8"/>
  <c r="D44" i="8"/>
  <c r="D89" i="8"/>
  <c r="D13" i="8"/>
  <c r="D45" i="8"/>
  <c r="D90" i="8"/>
  <c r="D14" i="8"/>
  <c r="D46" i="8"/>
  <c r="D91" i="8"/>
  <c r="C79" i="8"/>
  <c r="F88" i="8"/>
  <c r="F12" i="8"/>
  <c r="F44" i="8"/>
  <c r="F89" i="8"/>
  <c r="F13" i="8"/>
  <c r="F45" i="8"/>
  <c r="F90" i="8"/>
  <c r="F14" i="8"/>
  <c r="F46" i="8"/>
  <c r="F91" i="8"/>
  <c r="D94" i="8"/>
  <c r="D18" i="8"/>
  <c r="D50" i="8"/>
  <c r="D95" i="8"/>
  <c r="D20" i="8"/>
  <c r="D52" i="8"/>
  <c r="D97" i="8"/>
  <c r="F94" i="8"/>
  <c r="F18" i="8"/>
  <c r="F50" i="8"/>
  <c r="F95" i="8"/>
  <c r="F20" i="8"/>
  <c r="F52" i="8"/>
  <c r="F97" i="8"/>
  <c r="C99" i="8"/>
  <c r="C100" i="8"/>
  <c r="C101" i="8"/>
  <c r="L12" i="2"/>
  <c r="F241" i="8"/>
  <c r="D249" i="8"/>
  <c r="D267" i="8"/>
  <c r="D235" i="8"/>
  <c r="F235" i="8"/>
  <c r="D241" i="8"/>
  <c r="E249" i="8"/>
  <c r="E267" i="8"/>
  <c r="F249" i="8"/>
  <c r="F267" i="8"/>
  <c r="G249" i="8"/>
  <c r="G267" i="8"/>
  <c r="H249" i="8"/>
  <c r="H267" i="8"/>
  <c r="D25" i="8"/>
  <c r="D279" i="8"/>
  <c r="F25" i="8"/>
  <c r="F279" i="8"/>
  <c r="D31" i="8"/>
  <c r="D285" i="8"/>
  <c r="F31" i="8"/>
  <c r="F285" i="8"/>
  <c r="E295" i="8"/>
  <c r="D248" i="8"/>
  <c r="D266" i="8"/>
  <c r="D234" i="8"/>
  <c r="F234" i="8"/>
  <c r="D240" i="8"/>
  <c r="F240" i="8"/>
  <c r="E248" i="8"/>
  <c r="E266" i="8"/>
  <c r="F248" i="8"/>
  <c r="F266" i="8"/>
  <c r="G248" i="8"/>
  <c r="G266" i="8"/>
  <c r="H248" i="8"/>
  <c r="H266" i="8"/>
  <c r="D24" i="8"/>
  <c r="D278" i="8"/>
  <c r="F24" i="8"/>
  <c r="F278" i="8"/>
  <c r="D30" i="8"/>
  <c r="D284" i="8"/>
  <c r="F30" i="8"/>
  <c r="F284" i="8"/>
  <c r="E294" i="8"/>
  <c r="D250" i="8"/>
  <c r="D268" i="8"/>
  <c r="D236" i="8"/>
  <c r="F236" i="8"/>
  <c r="D242" i="8"/>
  <c r="F242" i="8"/>
  <c r="E250" i="8"/>
  <c r="E268" i="8"/>
  <c r="F250" i="8"/>
  <c r="F268" i="8"/>
  <c r="G250" i="8"/>
  <c r="G268" i="8"/>
  <c r="H250" i="8"/>
  <c r="H268" i="8"/>
  <c r="D26" i="8"/>
  <c r="D280" i="8"/>
  <c r="F26" i="8"/>
  <c r="F280" i="8"/>
  <c r="D32" i="8"/>
  <c r="D286" i="8"/>
  <c r="F32" i="8"/>
  <c r="F286" i="8"/>
  <c r="E296" i="8"/>
  <c r="D299" i="8"/>
  <c r="D300" i="8"/>
  <c r="D301" i="8"/>
  <c r="L17" i="2"/>
  <c r="F323" i="8"/>
  <c r="D334" i="8"/>
  <c r="D317" i="8"/>
  <c r="F317" i="8"/>
  <c r="D323" i="8"/>
  <c r="E334" i="8"/>
  <c r="F334" i="8"/>
  <c r="G334" i="8"/>
  <c r="H334" i="8"/>
  <c r="D63" i="8"/>
  <c r="D345" i="8"/>
  <c r="F63" i="8"/>
  <c r="F345" i="8"/>
  <c r="D69" i="8"/>
  <c r="D351" i="8"/>
  <c r="F69" i="8"/>
  <c r="F351" i="8"/>
  <c r="D361" i="8"/>
  <c r="D333" i="8"/>
  <c r="D316" i="8"/>
  <c r="F316" i="8"/>
  <c r="D322" i="8"/>
  <c r="F322" i="8"/>
  <c r="E333" i="8"/>
  <c r="F333" i="8"/>
  <c r="G333" i="8"/>
  <c r="H333" i="8"/>
  <c r="D62" i="8"/>
  <c r="D344" i="8"/>
  <c r="F62" i="8"/>
  <c r="F344" i="8"/>
  <c r="D68" i="8"/>
  <c r="D350" i="8"/>
  <c r="F68" i="8"/>
  <c r="F350" i="8"/>
  <c r="D360" i="8"/>
  <c r="D335" i="8"/>
  <c r="D318" i="8"/>
  <c r="F318" i="8"/>
  <c r="D324" i="8"/>
  <c r="F324" i="8"/>
  <c r="E335" i="8"/>
  <c r="F335" i="8"/>
  <c r="G335" i="8"/>
  <c r="H335" i="8"/>
  <c r="D64" i="8"/>
  <c r="D346" i="8"/>
  <c r="F64" i="8"/>
  <c r="F346" i="8"/>
  <c r="D70" i="8"/>
  <c r="D352" i="8"/>
  <c r="F70" i="8"/>
  <c r="F352" i="8"/>
  <c r="D362" i="8"/>
  <c r="C364" i="8"/>
  <c r="C365" i="8"/>
  <c r="C366" i="8"/>
  <c r="L18" i="2"/>
  <c r="L14" i="2"/>
  <c r="D222" i="8"/>
  <c r="D223" i="8"/>
  <c r="L16" i="2"/>
  <c r="D181" i="8"/>
  <c r="D184" i="8"/>
  <c r="D185" i="8"/>
  <c r="D186" i="8"/>
  <c r="D187" i="8"/>
  <c r="F184" i="8"/>
  <c r="F185" i="8"/>
  <c r="F186" i="8"/>
  <c r="F187" i="8"/>
  <c r="D190" i="8"/>
  <c r="D191" i="8"/>
  <c r="D192" i="8"/>
  <c r="D193" i="8"/>
  <c r="F190" i="8"/>
  <c r="F191" i="8"/>
  <c r="F192" i="8"/>
  <c r="F193" i="8"/>
  <c r="D195" i="8"/>
  <c r="D196" i="8"/>
  <c r="D197" i="8"/>
  <c r="L15" i="2"/>
  <c r="C76" i="24234"/>
  <c r="C77" i="24234"/>
  <c r="C88" i="24234"/>
  <c r="C60" i="24234"/>
  <c r="C61" i="24234"/>
  <c r="C72" i="24234"/>
  <c r="C91" i="24234"/>
  <c r="L19" i="2"/>
  <c r="C10" i="24241"/>
  <c r="C15" i="24241"/>
  <c r="D15" i="24241"/>
  <c r="C5" i="24241"/>
  <c r="D17" i="24241"/>
  <c r="D32" i="24241"/>
  <c r="L20" i="2"/>
  <c r="N6" i="2"/>
  <c r="D3" i="24242"/>
  <c r="C3" i="24242"/>
  <c r="C13" i="24239"/>
  <c r="D17" i="24242"/>
  <c r="C5" i="24242"/>
  <c r="C6" i="24242"/>
  <c r="C7" i="24242"/>
  <c r="C8" i="24242"/>
  <c r="C10" i="24242"/>
  <c r="C18" i="24242"/>
  <c r="D5" i="24242"/>
  <c r="D6" i="24242"/>
  <c r="D7" i="24242"/>
  <c r="D8" i="24242"/>
  <c r="D10" i="24242"/>
  <c r="D18" i="24242"/>
  <c r="C20" i="24242"/>
  <c r="C22" i="24242"/>
  <c r="L7" i="2"/>
  <c r="F4" i="24240"/>
  <c r="F5" i="24240"/>
  <c r="F10" i="24240"/>
  <c r="F14" i="24240"/>
  <c r="F15" i="24240"/>
  <c r="L6" i="2"/>
  <c r="E20" i="24242"/>
  <c r="C35" i="24234"/>
  <c r="L13" i="24234"/>
  <c r="D35" i="24234"/>
  <c r="L22" i="24234"/>
  <c r="L21" i="24234"/>
  <c r="C41" i="24234"/>
  <c r="W30" i="24234"/>
  <c r="W31" i="24234"/>
  <c r="W32" i="24234"/>
  <c r="W33" i="24234"/>
  <c r="W27" i="24234"/>
  <c r="W34" i="24234"/>
  <c r="W35" i="24234"/>
  <c r="L35" i="24234"/>
  <c r="L34" i="24234"/>
  <c r="D41" i="24234"/>
  <c r="C33" i="24234"/>
  <c r="C36" i="24234"/>
  <c r="C37" i="24234"/>
  <c r="C48" i="24234"/>
  <c r="M21" i="24234"/>
  <c r="M26" i="24234"/>
  <c r="C42" i="24234"/>
  <c r="M34" i="24234"/>
  <c r="AA31" i="24234"/>
  <c r="AA30" i="24234"/>
  <c r="AA32" i="24234"/>
  <c r="AA33" i="24234"/>
  <c r="AA27" i="24234"/>
  <c r="AA34" i="24234"/>
  <c r="AA35" i="24234"/>
  <c r="M39" i="24234"/>
  <c r="D42" i="24234"/>
  <c r="C49" i="24234"/>
  <c r="N22" i="24234"/>
  <c r="N21" i="24234"/>
  <c r="N26" i="24234"/>
  <c r="N23" i="24234"/>
  <c r="C43" i="24234"/>
  <c r="N35" i="24234"/>
  <c r="N34" i="24234"/>
  <c r="N39" i="24234"/>
  <c r="X32" i="24234"/>
  <c r="X30" i="24234"/>
  <c r="X31" i="24234"/>
  <c r="X33" i="24234"/>
  <c r="X27" i="24234"/>
  <c r="X34" i="24234"/>
  <c r="X35" i="24234"/>
  <c r="N36" i="24234"/>
  <c r="D43" i="24234"/>
  <c r="C50" i="24234"/>
  <c r="O22" i="24234"/>
  <c r="O21" i="24234"/>
  <c r="C44" i="24234"/>
  <c r="O35" i="24234"/>
  <c r="O34" i="24234"/>
  <c r="D44" i="24234"/>
  <c r="C51" i="24234"/>
  <c r="P21" i="24234"/>
  <c r="C45" i="24234"/>
  <c r="P35" i="24234"/>
  <c r="P34" i="24234"/>
  <c r="P39" i="24234"/>
  <c r="P36" i="24234"/>
  <c r="D45" i="24234"/>
  <c r="C52" i="24234"/>
  <c r="C54" i="24234"/>
  <c r="C55" i="24234"/>
  <c r="C19" i="24234"/>
  <c r="C29" i="24234"/>
  <c r="C5" i="24234"/>
  <c r="C15" i="24234"/>
  <c r="C57" i="24234"/>
  <c r="L4" i="2"/>
  <c r="D36" i="24234"/>
  <c r="C22" i="2"/>
  <c r="C72" i="24232"/>
  <c r="M51" i="515"/>
  <c r="N51" i="515"/>
  <c r="P51" i="515"/>
  <c r="L51" i="515"/>
  <c r="D31" i="24241"/>
  <c r="D30" i="24241"/>
  <c r="C4" i="2"/>
  <c r="C71" i="24234"/>
  <c r="C87" i="24234"/>
  <c r="C90" i="24234"/>
  <c r="L8" i="2"/>
  <c r="AC27" i="24234"/>
  <c r="AC34" i="24234"/>
  <c r="AC30" i="24234"/>
  <c r="AC31" i="24234"/>
  <c r="AC32" i="24234"/>
  <c r="AC33" i="24234"/>
  <c r="AC35" i="24234"/>
  <c r="P42" i="24234"/>
  <c r="O42" i="24234"/>
  <c r="N42" i="24234"/>
  <c r="P41" i="24234"/>
  <c r="O41" i="24234"/>
  <c r="N41" i="24234"/>
  <c r="AB27" i="24234"/>
  <c r="AB34" i="24234"/>
  <c r="AB30" i="24234"/>
  <c r="AB31" i="24234"/>
  <c r="AB32" i="24234"/>
  <c r="AB33" i="24234"/>
  <c r="AB35" i="24234"/>
  <c r="P40" i="24234"/>
  <c r="O40" i="24234"/>
  <c r="N40" i="24234"/>
  <c r="L40" i="24234"/>
  <c r="AD5" i="24234"/>
  <c r="AD30" i="24234"/>
  <c r="AD6" i="24234"/>
  <c r="AD31" i="24234"/>
  <c r="AD7" i="24234"/>
  <c r="AD10" i="24234"/>
  <c r="AD11" i="24234"/>
  <c r="AD14" i="24234"/>
  <c r="AD15" i="24234"/>
  <c r="AD32" i="24234"/>
  <c r="AD12" i="24234"/>
  <c r="AD33" i="24234"/>
  <c r="AD20" i="24234"/>
  <c r="AD21" i="24234"/>
  <c r="AD22" i="24234"/>
  <c r="AD23" i="24234"/>
  <c r="AD24" i="24234"/>
  <c r="AD25" i="24234"/>
  <c r="AD26" i="24234"/>
  <c r="AD27" i="24234"/>
  <c r="AD34" i="24234"/>
  <c r="AD35" i="24234"/>
  <c r="Z30" i="24234"/>
  <c r="Z31" i="24234"/>
  <c r="Z32" i="24234"/>
  <c r="Z33" i="24234"/>
  <c r="Z27" i="24234"/>
  <c r="Z34" i="24234"/>
  <c r="Z35" i="24234"/>
  <c r="Y30" i="24234"/>
  <c r="Y31" i="24234"/>
  <c r="Y32" i="24234"/>
  <c r="Y33" i="24234"/>
  <c r="Y27" i="24234"/>
  <c r="Y34" i="24234"/>
  <c r="Y35" i="24234"/>
  <c r="P38" i="24234"/>
  <c r="O38" i="24234"/>
  <c r="N38" i="24234"/>
  <c r="M38" i="24234"/>
  <c r="P37" i="24234"/>
  <c r="O37" i="24234"/>
  <c r="N37" i="24234"/>
  <c r="L37" i="24234"/>
  <c r="C34" i="24234"/>
  <c r="O29" i="24234"/>
  <c r="N29" i="24234"/>
  <c r="O28" i="24234"/>
  <c r="N28" i="24234"/>
  <c r="O27" i="24234"/>
  <c r="N27" i="24234"/>
  <c r="L27" i="24234"/>
  <c r="O25" i="24234"/>
  <c r="N25" i="24234"/>
  <c r="M25" i="24234"/>
  <c r="O24" i="24234"/>
  <c r="N24" i="24234"/>
  <c r="L24" i="24234"/>
  <c r="AD8" i="24234"/>
  <c r="AD9" i="24234"/>
  <c r="AD13" i="24234"/>
  <c r="AD16" i="24234"/>
  <c r="AC16" i="24234"/>
  <c r="AB16" i="24234"/>
  <c r="AA16" i="24234"/>
  <c r="Z16" i="24234"/>
  <c r="Y16" i="24234"/>
  <c r="X16" i="24234"/>
  <c r="W16" i="24234"/>
  <c r="L59" i="515"/>
  <c r="L60" i="515"/>
  <c r="L10" i="2"/>
  <c r="L9" i="2"/>
  <c r="E297" i="8"/>
  <c r="F75" i="24238"/>
  <c r="D75" i="24238"/>
  <c r="F68" i="24238"/>
  <c r="D68" i="24238"/>
  <c r="F61" i="24238"/>
  <c r="D61" i="24238"/>
  <c r="F54" i="24238"/>
  <c r="D54" i="24238"/>
  <c r="C20" i="2"/>
  <c r="C21" i="2"/>
  <c r="C19" i="2"/>
  <c r="C34" i="8"/>
  <c r="L11" i="2"/>
  <c r="L5" i="2"/>
  <c r="N5" i="2"/>
  <c r="N4" i="2"/>
  <c r="L22" i="2"/>
  <c r="D105" i="8"/>
  <c r="E105" i="8"/>
  <c r="F105" i="8"/>
  <c r="G105" i="8"/>
  <c r="C105" i="8"/>
  <c r="E110" i="8"/>
  <c r="F110" i="8"/>
  <c r="G110" i="8"/>
  <c r="H110" i="8"/>
  <c r="I110" i="8"/>
  <c r="D110" i="8"/>
  <c r="G61" i="24232"/>
  <c r="D61" i="24232"/>
  <c r="E61" i="24232"/>
  <c r="F61" i="24232"/>
  <c r="C61" i="24232"/>
  <c r="I18" i="515"/>
  <c r="I17" i="515"/>
  <c r="I16" i="515"/>
  <c r="I15" i="515"/>
  <c r="C19" i="24239"/>
  <c r="C18" i="24239"/>
  <c r="C17" i="24239"/>
  <c r="C16" i="24239"/>
  <c r="C14" i="24239"/>
  <c r="C16" i="2"/>
  <c r="C15" i="2"/>
  <c r="E19" i="24238"/>
  <c r="F19" i="24238"/>
  <c r="G19" i="24238"/>
  <c r="H19" i="24238"/>
  <c r="P3" i="3"/>
  <c r="Q3" i="3"/>
  <c r="R3" i="3"/>
  <c r="N3" i="3"/>
  <c r="O3" i="3"/>
  <c r="M3" i="3"/>
  <c r="E3" i="3"/>
  <c r="F3" i="3"/>
  <c r="G3" i="3"/>
  <c r="H3" i="3"/>
  <c r="I3" i="3"/>
  <c r="D3" i="3"/>
  <c r="E3" i="515"/>
  <c r="F3" i="515"/>
  <c r="G3" i="515"/>
  <c r="H3" i="515"/>
  <c r="I3" i="515"/>
  <c r="D3" i="515"/>
  <c r="N3" i="24232"/>
  <c r="O3" i="24232"/>
  <c r="P3" i="24232"/>
  <c r="Q3" i="24232"/>
  <c r="R3" i="24232"/>
  <c r="M3" i="24232"/>
  <c r="E3" i="24232"/>
  <c r="F3" i="24232"/>
  <c r="G3" i="24232"/>
  <c r="H3" i="24232"/>
  <c r="I3" i="24232"/>
  <c r="D3" i="24232"/>
  <c r="D5" i="2"/>
  <c r="E5" i="2"/>
  <c r="F5" i="2"/>
  <c r="G5" i="2"/>
  <c r="C5" i="2"/>
  <c r="C3" i="2"/>
  <c r="G7" i="2"/>
  <c r="G6" i="2"/>
  <c r="F7" i="2"/>
  <c r="F6" i="2"/>
  <c r="C18" i="2"/>
  <c r="C7" i="2"/>
  <c r="D7" i="2"/>
  <c r="E7" i="2"/>
  <c r="D6" i="2"/>
  <c r="E6" i="2"/>
  <c r="C6" i="2"/>
  <c r="D10" i="2"/>
  <c r="E10" i="2"/>
  <c r="F25" i="24238"/>
  <c r="E11" i="2"/>
  <c r="F10" i="2"/>
  <c r="G10" i="2"/>
  <c r="H25" i="24238"/>
  <c r="G11" i="2"/>
  <c r="H13" i="24238"/>
  <c r="G9" i="2"/>
  <c r="G25" i="24238"/>
  <c r="F11" i="2"/>
  <c r="G13" i="24238"/>
  <c r="F9" i="2"/>
  <c r="F13" i="24238"/>
  <c r="E9" i="2"/>
  <c r="E25" i="24238"/>
  <c r="D11" i="2"/>
  <c r="E13" i="24238"/>
  <c r="D9" i="2"/>
  <c r="D19" i="24238"/>
  <c r="C10" i="2"/>
  <c r="C11" i="2"/>
  <c r="D13" i="24238"/>
  <c r="C9" i="2"/>
  <c r="I41" i="24232"/>
  <c r="I42" i="24232"/>
  <c r="I43" i="24232"/>
  <c r="I40" i="24232"/>
  <c r="I36" i="24232"/>
  <c r="I37" i="24232"/>
  <c r="I38" i="24232"/>
  <c r="I35" i="24232"/>
  <c r="I31" i="24232"/>
  <c r="I32" i="24232"/>
  <c r="I33" i="24232"/>
  <c r="I30" i="24232"/>
  <c r="I26" i="24232"/>
  <c r="I27" i="24232"/>
  <c r="I28" i="24232"/>
  <c r="I25" i="24232"/>
  <c r="I16" i="24232"/>
  <c r="I17" i="24232"/>
  <c r="I18" i="24232"/>
  <c r="I15" i="24232"/>
  <c r="I11" i="24232"/>
  <c r="I12" i="24232"/>
  <c r="I13" i="24232"/>
  <c r="I10" i="24232"/>
  <c r="E31" i="24238"/>
  <c r="D12" i="2"/>
  <c r="F31" i="24238"/>
  <c r="E12" i="2"/>
  <c r="G31" i="24238"/>
  <c r="F12" i="2"/>
  <c r="H31" i="24238"/>
  <c r="G12" i="2"/>
  <c r="D31" i="24238"/>
  <c r="C12" i="2"/>
  <c r="E43" i="24238"/>
  <c r="D14" i="2"/>
  <c r="F43" i="24238"/>
  <c r="E14" i="2"/>
  <c r="G43" i="24238"/>
  <c r="F14" i="2"/>
  <c r="H43" i="24238"/>
  <c r="G14" i="2"/>
  <c r="D43" i="24238"/>
  <c r="C14" i="2"/>
  <c r="E37" i="24238"/>
  <c r="D13" i="2"/>
  <c r="F37" i="24238"/>
  <c r="E13" i="2"/>
  <c r="G37" i="24238"/>
  <c r="F13" i="2"/>
  <c r="H37" i="24238"/>
  <c r="G13" i="2"/>
  <c r="D37" i="24238"/>
  <c r="C13" i="2"/>
  <c r="I26" i="3"/>
  <c r="I27" i="3"/>
  <c r="I28" i="3"/>
  <c r="I25" i="3"/>
  <c r="I21" i="3"/>
  <c r="I22" i="3"/>
  <c r="I23" i="3"/>
  <c r="I20" i="3"/>
  <c r="I16" i="3"/>
  <c r="I17" i="3"/>
  <c r="I18" i="3"/>
  <c r="I15" i="3"/>
  <c r="I11" i="3"/>
  <c r="I12" i="3"/>
  <c r="I13" i="3"/>
  <c r="I10" i="3"/>
  <c r="C17" i="2"/>
</calcChain>
</file>

<file path=xl/comments1.xml><?xml version="1.0" encoding="utf-8"?>
<comments xmlns="http://schemas.openxmlformats.org/spreadsheetml/2006/main">
  <authors>
    <author>Seyda Ozkan</author>
    <author>Dr Richard J Eckard</author>
    <author>Richard Eckard</author>
  </authors>
  <commentList>
    <comment ref="G1" authorId="0" shapeId="0">
      <text>
        <r>
          <rPr>
            <sz val="8"/>
            <color indexed="81"/>
            <rFont val="Tahoma"/>
            <family val="2"/>
          </rPr>
          <t>Type the name of your farm</t>
        </r>
      </text>
    </comment>
    <comment ref="C8" authorId="0" shapeId="0">
      <text>
        <r>
          <rPr>
            <sz val="8"/>
            <color indexed="81"/>
            <rFont val="Tahoma"/>
            <family val="2"/>
          </rPr>
          <t>Defined in terms of calendar seasons (Spring - September, October, November. Summer - December, January, February. Autumn - March, April, May. Winter - June, July, August)</t>
        </r>
      </text>
    </comment>
    <comment ref="B9" authorId="1" shapeId="0">
      <text>
        <r>
          <rPr>
            <sz val="8"/>
            <color indexed="81"/>
            <rFont val="Tahoma"/>
            <family val="2"/>
          </rPr>
          <t>Insert the number of animals in each category.</t>
        </r>
      </text>
    </comment>
    <comment ref="B15" authorId="1" shapeId="0">
      <text>
        <r>
          <rPr>
            <sz val="8"/>
            <color indexed="81"/>
            <rFont val="Tahoma"/>
            <family val="2"/>
          </rPr>
          <t xml:space="preserve">Specify the average liveweight of your herd for each category.
The estimated weight of an animal by season. </t>
        </r>
      </text>
    </comment>
    <comment ref="B21" authorId="1" shapeId="0">
      <text>
        <r>
          <rPr>
            <sz val="8"/>
            <color indexed="81"/>
            <rFont val="Tahoma"/>
            <family val="2"/>
          </rPr>
          <t>Insert the likely average daily liveweight gain for each class of animal in the herd.
This is an estimate of the expected weight gain of an animal in a particular class of livestock over a season, expressed in kilograms per day. Where climatic conditions are particularly harsh and where feed quality is poor, liveweight loss will occur.</t>
        </r>
      </text>
    </comment>
    <comment ref="B27" authorId="0" shapeId="0">
      <text>
        <r>
          <rPr>
            <sz val="8"/>
            <color indexed="81"/>
            <rFont val="Tahoma"/>
            <family val="2"/>
          </rPr>
          <t>Enter the CP in the feed eaten, not on offer</t>
        </r>
      </text>
    </comment>
    <comment ref="B33" authorId="2" shapeId="0">
      <text>
        <r>
          <rPr>
            <sz val="8"/>
            <color indexed="81"/>
            <rFont val="Tahoma"/>
            <family val="2"/>
          </rPr>
          <t>Enter the DMD in the feed eaten, not on offer</t>
        </r>
      </text>
    </comment>
    <comment ref="B39" authorId="0" shapeId="0">
      <text>
        <r>
          <rPr>
            <sz val="8"/>
            <color indexed="81"/>
            <rFont val="Tahoma"/>
            <family val="2"/>
          </rPr>
          <t>Insert the average seasonal milk production for milking cows in kg/head/day (or annual yield/no of milking cows/365 days)</t>
        </r>
      </text>
    </comment>
    <comment ref="B46" authorId="1" shapeId="0">
      <text>
        <r>
          <rPr>
            <sz val="8"/>
            <color indexed="81"/>
            <rFont val="Tahoma"/>
            <family val="2"/>
          </rPr>
          <t>The total area of cropping land that received N fertiliser</t>
        </r>
      </text>
    </comment>
    <comment ref="B47" authorId="1" shapeId="0">
      <text>
        <r>
          <rPr>
            <sz val="8"/>
            <color indexed="81"/>
            <rFont val="Tahoma"/>
            <family val="2"/>
          </rPr>
          <t>Total area of pastures that received N fertiliser</t>
        </r>
      </text>
    </comment>
    <comment ref="B50" authorId="0" shapeId="0">
      <text>
        <r>
          <rPr>
            <sz val="8"/>
            <color indexed="81"/>
            <rFont val="Tahoma"/>
            <family val="2"/>
          </rPr>
          <t>Amount of Nitrogen fertiliser applied on crops (in kg N/ha) - remember that urea is 46%N and DAP is 18% N etc. i.e. 10 tonnes of urea = 10000*46/100 kg N</t>
        </r>
      </text>
    </comment>
    <comment ref="B57" authorId="0" shapeId="0">
      <text>
        <r>
          <rPr>
            <sz val="8"/>
            <color indexed="81"/>
            <rFont val="Tahoma"/>
            <family val="2"/>
          </rPr>
          <t>Amount of Nitrogen fertiliser applied on pastures (in kg N/ha) - remember that urea is 46%N and DAP is 18% N etc. i.e. 10 tonnes of urea = 10000*46/100 kg N</t>
        </r>
      </text>
    </comment>
    <comment ref="B64" authorId="0" shapeId="0">
      <text>
        <r>
          <rPr>
            <sz val="8"/>
            <color indexed="81"/>
            <rFont val="Tahoma"/>
            <family val="2"/>
          </rPr>
          <t>Amount of Nitrogen fertiliser applied on crops (in kg N/ha) - remember that urea is 46%N and DAP is 18% N etc. i.e. 10 tonnes of urea = 10000*46/100 kg N</t>
        </r>
      </text>
    </comment>
    <comment ref="B71" authorId="0" shapeId="0">
      <text>
        <r>
          <rPr>
            <sz val="8"/>
            <color indexed="81"/>
            <rFont val="Tahoma"/>
            <family val="2"/>
          </rPr>
          <t>Amount of Nitrogen fertiliser applied on pastures (in kg N/ha) - remember that urea is 46%N and DAP is 18% N etc. i.e. 10 tonnes of urea = 10000*46/100 kg N</t>
        </r>
      </text>
    </comment>
    <comment ref="B77" authorId="0" shapeId="0">
      <text>
        <r>
          <rPr>
            <sz val="8"/>
            <color indexed="8"/>
            <rFont val="Tahoma"/>
            <family val="2"/>
          </rPr>
          <t>Total amount of Nitrogen fertiliser applied on crops (in kg N) - remember that urea is 46%N and DAP is 18% N etc. i.e. 10 tonnes of urea = 10000*46/100 kg N/ha</t>
        </r>
      </text>
    </comment>
    <comment ref="B78" authorId="0" shapeId="0">
      <text>
        <r>
          <rPr>
            <sz val="8"/>
            <color indexed="81"/>
            <rFont val="Tahoma"/>
            <family val="2"/>
          </rPr>
          <t>Total amount of Nitrogen fertiliser applied on pastures (in kg N) - remember that urea is 46%N and DAP is 18% N etc. i.e. 10 tonnes of urea = 10000*46/100 kg N/ha</t>
        </r>
      </text>
    </comment>
    <comment ref="C83" authorId="0" shapeId="0">
      <text>
        <r>
          <rPr>
            <sz val="8"/>
            <color indexed="81"/>
            <rFont val="Tahoma"/>
            <family val="2"/>
          </rPr>
          <t>For example, if you are in Gippsland, it is most likely from Victorian Brown Coal. If you deliberately buy power from renewable sources or Green Power, then select the bottom option.
While electricity consumption is not a greenhouse emission at a farm level, it is important to include this to allow you to investigate the impact of increased power use such as for comparing spray irrigation against flood irrigation.</t>
        </r>
      </text>
    </comment>
    <comment ref="B85" authorId="0" shapeId="0">
      <text>
        <r>
          <rPr>
            <sz val="8"/>
            <color indexed="81"/>
            <rFont val="Tahoma"/>
            <family val="2"/>
          </rPr>
          <t>How many litres of diesel did the farm use last year?</t>
        </r>
      </text>
    </comment>
    <comment ref="B87" authorId="0" shapeId="0">
      <text>
        <r>
          <rPr>
            <sz val="8"/>
            <color indexed="81"/>
            <rFont val="Tahoma"/>
            <family val="2"/>
          </rPr>
          <t>What was your total annual electricity bill for the year in KWh?</t>
        </r>
      </text>
    </comment>
    <comment ref="B97" authorId="0" shapeId="0">
      <text>
        <r>
          <rPr>
            <sz val="8"/>
            <color indexed="81"/>
            <rFont val="Tahoma"/>
            <family val="2"/>
          </rPr>
          <t>Enter your manure management data for milkers.
Enter zero (0) for the category that is not applicable to your farm</t>
        </r>
      </text>
    </comment>
    <comment ref="C97" authorId="0" shapeId="0">
      <text>
        <r>
          <rPr>
            <sz val="8"/>
            <color indexed="81"/>
            <rFont val="Tahoma"/>
            <family val="2"/>
          </rPr>
          <t>Voided at pasture (%)</t>
        </r>
      </text>
    </comment>
    <comment ref="D97" authorId="0" shapeId="0">
      <text>
        <r>
          <rPr>
            <sz val="8"/>
            <color indexed="81"/>
            <rFont val="Tahoma"/>
            <family val="2"/>
          </rPr>
          <t>Lagoon (%)
Manure in a liquid form is stored in such a way as to create anaerobic conditions. Typically, almost all of the available organic matter of the waste will be converted into methane in the anaerobic situation. In order to prevent emissions escaping into the atmosphere, it is possible to cover these lagoons, collect the methane gas produced and burn it as a renewable fuel.</t>
        </r>
      </text>
    </comment>
    <comment ref="E97" authorId="0" shapeId="0">
      <text>
        <r>
          <rPr>
            <sz val="8"/>
            <color indexed="81"/>
            <rFont val="Tahoma"/>
            <family val="2"/>
          </rPr>
          <t>Daily spread (%)</t>
        </r>
      </text>
    </comment>
    <comment ref="F97" authorId="0" shapeId="0">
      <text>
        <r>
          <rPr>
            <sz val="8"/>
            <color indexed="81"/>
            <rFont val="Tahoma"/>
            <family val="2"/>
          </rPr>
          <t>solid storage (%)</t>
        </r>
      </text>
    </comment>
    <comment ref="G97" authorId="0" shapeId="0">
      <text>
        <r>
          <rPr>
            <sz val="8"/>
            <color indexed="81"/>
            <rFont val="Tahoma"/>
            <family val="2"/>
          </rPr>
          <t>Solid Storage (%)</t>
        </r>
      </text>
    </comment>
    <comment ref="B98" authorId="0" shapeId="0">
      <text>
        <r>
          <rPr>
            <sz val="8"/>
            <color indexed="81"/>
            <rFont val="Tahoma"/>
            <family val="2"/>
          </rPr>
          <t>Enter your manure management data for other dairy cows 
Enter zero (0) for the category that is not applicable to your farm</t>
        </r>
      </text>
    </comment>
  </commentList>
</comments>
</file>

<file path=xl/comments2.xml><?xml version="1.0" encoding="utf-8"?>
<comments xmlns="http://schemas.openxmlformats.org/spreadsheetml/2006/main">
  <authors>
    <author>Chris Taylor</author>
  </authors>
  <commentList>
    <comment ref="R28" authorId="0" shapeId="0">
      <text>
        <r>
          <rPr>
            <b/>
            <sz val="9"/>
            <color indexed="81"/>
            <rFont val="Arial"/>
            <family val="2"/>
          </rPr>
          <t>Chris Taylor:</t>
        </r>
        <r>
          <rPr>
            <sz val="9"/>
            <color indexed="81"/>
            <rFont val="Arial"/>
            <family val="2"/>
          </rPr>
          <t xml:space="preserve">
Clairfy pre-weaned calves</t>
        </r>
      </text>
    </comment>
  </commentList>
</comments>
</file>

<file path=xl/comments3.xml><?xml version="1.0" encoding="utf-8"?>
<comments xmlns="http://schemas.openxmlformats.org/spreadsheetml/2006/main">
  <authors>
    <author>Chris Taylor</author>
  </authors>
  <commentList>
    <comment ref="R49" authorId="0" shapeId="0">
      <text>
        <r>
          <rPr>
            <b/>
            <sz val="9"/>
            <color indexed="81"/>
            <rFont val="Arial"/>
            <family val="2"/>
          </rPr>
          <t>Chris Taylor:</t>
        </r>
        <r>
          <rPr>
            <sz val="9"/>
            <color indexed="81"/>
            <rFont val="Arial"/>
            <family val="2"/>
          </rPr>
          <t xml:space="preserve">
Clarify MPW</t>
        </r>
      </text>
    </comment>
  </commentList>
</comments>
</file>

<file path=xl/sharedStrings.xml><?xml version="1.0" encoding="utf-8"?>
<sst xmlns="http://schemas.openxmlformats.org/spreadsheetml/2006/main" count="2480" uniqueCount="836">
  <si>
    <t>State</t>
  </si>
  <si>
    <t>kg/day</t>
  </si>
  <si>
    <t>Bulls&gt;1</t>
  </si>
  <si>
    <t>Bulls&lt;1</t>
  </si>
  <si>
    <t>Annual Electricity Use</t>
  </si>
  <si>
    <t>Net Farm Emissions</t>
  </si>
  <si>
    <t>Total</t>
  </si>
  <si>
    <t>Data Input</t>
  </si>
  <si>
    <t>Live weight gain</t>
  </si>
  <si>
    <t>kg /day</t>
  </si>
  <si>
    <t>%</t>
  </si>
  <si>
    <t>ME from DMD</t>
  </si>
  <si>
    <t>MJ/kg</t>
  </si>
  <si>
    <t>Gross Energy</t>
  </si>
  <si>
    <t>Methane Calculation</t>
  </si>
  <si>
    <t>Crude Protein</t>
  </si>
  <si>
    <t>fraction</t>
  </si>
  <si>
    <t>kg/head/day</t>
  </si>
  <si>
    <t>kg/m3</t>
  </si>
  <si>
    <t xml:space="preserve">Heifers &gt;1 </t>
  </si>
  <si>
    <t xml:space="preserve">Heifers &lt;1 </t>
  </si>
  <si>
    <t>Heifers &gt;1</t>
  </si>
  <si>
    <t>Heifers &lt;1</t>
  </si>
  <si>
    <t>Milking Cows</t>
  </si>
  <si>
    <t>Units</t>
  </si>
  <si>
    <t>Manure Management Systems  (MMS)</t>
  </si>
  <si>
    <t>Fertiliser</t>
  </si>
  <si>
    <t>Livestock Numbers</t>
  </si>
  <si>
    <t>kg LWt</t>
  </si>
  <si>
    <t>litres/year</t>
  </si>
  <si>
    <t>KWh</t>
  </si>
  <si>
    <t>Annual Diesel Consumption</t>
  </si>
  <si>
    <t>CO</t>
  </si>
  <si>
    <t>NMVOC</t>
  </si>
  <si>
    <t>Outputs</t>
  </si>
  <si>
    <t>Energy - Fuel and Electricity</t>
  </si>
  <si>
    <t>Farm Name</t>
  </si>
  <si>
    <t>Herd information</t>
  </si>
  <si>
    <t>Area cropped</t>
  </si>
  <si>
    <t>Area Improved Pasture</t>
  </si>
  <si>
    <t>ha</t>
  </si>
  <si>
    <t>Power Source</t>
  </si>
  <si>
    <t>Gg</t>
  </si>
  <si>
    <t>kg N/ year</t>
  </si>
  <si>
    <t>Summary</t>
  </si>
  <si>
    <t>Liveweight</t>
  </si>
  <si>
    <t>Nitrogen Fertiliser Crops</t>
  </si>
  <si>
    <t>Nitrogen Fertiliser Pasture</t>
  </si>
  <si>
    <t>N Fertiliser crops</t>
  </si>
  <si>
    <t>N Fertiliser Pastures</t>
  </si>
  <si>
    <t>CH4</t>
  </si>
  <si>
    <t>N2O</t>
  </si>
  <si>
    <t>MI = MP x NE / k / qm / 18.4</t>
  </si>
  <si>
    <t>Weight of Cows</t>
  </si>
  <si>
    <t>Dry matter digestibility (DMD)</t>
  </si>
  <si>
    <t>MJ/kg DM</t>
  </si>
  <si>
    <t xml:space="preserve">Milk Production </t>
  </si>
  <si>
    <t>MR (milk metabolic rate increase)</t>
  </si>
  <si>
    <t>Feed Intake</t>
  </si>
  <si>
    <t>Live weight gain (LWG)</t>
  </si>
  <si>
    <t>Milk Production (MP)</t>
  </si>
  <si>
    <t>kg CH4/head/day</t>
  </si>
  <si>
    <t>Annual Australian methane production (Gg) for all classes of dairy cattle across all states</t>
  </si>
  <si>
    <t xml:space="preserve">Volatile solids (VS) </t>
  </si>
  <si>
    <t>Ash content (A)</t>
  </si>
  <si>
    <t>Methane production from manure</t>
  </si>
  <si>
    <t>Emission potential (Bo)</t>
  </si>
  <si>
    <t>m3 CH4/kg VS</t>
  </si>
  <si>
    <t>The annual methane production (Gg) from the manure of dairy cattle</t>
  </si>
  <si>
    <t>Gg CH4/farm/year</t>
  </si>
  <si>
    <t>Gg CO2-e/farm/year</t>
  </si>
  <si>
    <t>CPI = I x CP</t>
  </si>
  <si>
    <t>Crude protein (CP) content of feed intake</t>
  </si>
  <si>
    <t>The crude protein intake of dairy cattle</t>
  </si>
  <si>
    <t xml:space="preserve">ME (Metabolisable energy) = 0.1604 x DMD - 1.037 </t>
  </si>
  <si>
    <t>1 / 6.25 = Factor for converting crude protein into nitrogen</t>
  </si>
  <si>
    <t>Nitrogen retained (NR) by the body</t>
  </si>
  <si>
    <t>Nitrogen excreted in faeces (F)</t>
  </si>
  <si>
    <t>Relative size (Z)</t>
  </si>
  <si>
    <t>Liveweight gain (LWG)</t>
  </si>
  <si>
    <t>Nitrogen excreted in urine (U)</t>
  </si>
  <si>
    <t>kg N/head/day</t>
  </si>
  <si>
    <t>The total emissions of nitrous oxide from different manure management systems (Total MMS)</t>
  </si>
  <si>
    <t>Factor to convert elemental mass of N2O to molecular mass (Cg)</t>
  </si>
  <si>
    <t>Emission factor (EF) = N2O-N kg/N excreted for the different manure management systems</t>
  </si>
  <si>
    <t>Mass of fertiliser appplied (M)</t>
  </si>
  <si>
    <t>M = TM x FN</t>
  </si>
  <si>
    <t>Gg N</t>
  </si>
  <si>
    <t>TM = total mass of fertiliser</t>
  </si>
  <si>
    <t>FN = fraction of N applied to production system</t>
  </si>
  <si>
    <t>Leaching of organic nitrogen and subsequent denitrification in rivers and estuaries</t>
  </si>
  <si>
    <t>E = M x EF x Cg</t>
  </si>
  <si>
    <t>Gg N2O-N/Gg N</t>
  </si>
  <si>
    <t>M = TM x FracGASF</t>
  </si>
  <si>
    <t xml:space="preserve">M = mass of synthetic fertiliser volatilised </t>
  </si>
  <si>
    <t>Gg N/Gg applied</t>
  </si>
  <si>
    <t xml:space="preserve">The mass of animal waste volatilised </t>
  </si>
  <si>
    <t>The mass of fertiliser N applied to soils that is lost through leaching and runoff (M)</t>
  </si>
  <si>
    <t>M = mass of fertiliser in each production system</t>
  </si>
  <si>
    <t>The mass of animal waste N applied to soils that is lost through leaching and runoff (M)</t>
  </si>
  <si>
    <t>N2O emissions from synthetic fertiliser</t>
  </si>
  <si>
    <t>M = (Mnsoil + UN soil + FN soil) x FracWET x FracLEACH</t>
  </si>
  <si>
    <t>kWh</t>
  </si>
  <si>
    <t>CO2 emissions from diesel use</t>
  </si>
  <si>
    <t>Annual N2O production from atmospheric deposition (indirect ammonia)</t>
  </si>
  <si>
    <t>Total CO2-e emissions from leaching and runoff (indirect nitrate)</t>
  </si>
  <si>
    <t>head</t>
  </si>
  <si>
    <t>Spring</t>
  </si>
  <si>
    <t>Summer</t>
  </si>
  <si>
    <t>Autumn</t>
  </si>
  <si>
    <t>Winter</t>
  </si>
  <si>
    <t>Average</t>
  </si>
  <si>
    <t>kg/head</t>
  </si>
  <si>
    <t>Enter your farm data for each animal class and season</t>
  </si>
  <si>
    <t>Seasons</t>
  </si>
  <si>
    <t>I = (1.185 + 0.00454 x W - 0.0000026 x W^2 + 0.315 x LWG)^2 x MR + MI</t>
  </si>
  <si>
    <t>Gg CH4/year/farm</t>
  </si>
  <si>
    <t>t CO2-e/year/farm</t>
  </si>
  <si>
    <t>Gg CO2-e/year/farm</t>
  </si>
  <si>
    <t>t CO2-e/farm/year</t>
  </si>
  <si>
    <t>Faecal nitrous oxide calculation</t>
  </si>
  <si>
    <t>kg DM/head/day</t>
  </si>
  <si>
    <t>4A.1a_1</t>
  </si>
  <si>
    <t>Additional intake for milk production</t>
  </si>
  <si>
    <t>4A.1a_2</t>
  </si>
  <si>
    <t>4A.1a_6</t>
  </si>
  <si>
    <t>4A.1a_7</t>
  </si>
  <si>
    <t>Gg CH4/farm/season</t>
  </si>
  <si>
    <t>4B.1a_1</t>
  </si>
  <si>
    <t>4B.1a_2</t>
  </si>
  <si>
    <t>Grand total</t>
  </si>
  <si>
    <t>4B.1a_3</t>
  </si>
  <si>
    <t>4B.1a_4</t>
  </si>
  <si>
    <t>4B.1a_5</t>
  </si>
  <si>
    <t>4B.1a_6</t>
  </si>
  <si>
    <t>4B.1a_7</t>
  </si>
  <si>
    <r>
      <t>U = (CPI / 6.25) - NR - F - [(1.1 x 10^-4</t>
    </r>
    <r>
      <rPr>
        <b/>
        <vertAlign val="superscript"/>
        <sz val="12"/>
        <rFont val="Times New Roman"/>
        <family val="1"/>
      </rPr>
      <t xml:space="preserve"> </t>
    </r>
    <r>
      <rPr>
        <b/>
        <sz val="12"/>
        <rFont val="Times New Roman"/>
        <family val="1"/>
      </rPr>
      <t xml:space="preserve"> x W^0.75) / 6.25]</t>
    </r>
  </si>
  <si>
    <t>4B.1a_8a</t>
  </si>
  <si>
    <t>4B.1a_8b</t>
  </si>
  <si>
    <t>AF = ∑ (91.25 x N x F) x 10^-6</t>
  </si>
  <si>
    <t>AU = ∑ (91.25 x N x U) x 10^-6</t>
  </si>
  <si>
    <t>Gg N/farm/season</t>
  </si>
  <si>
    <t>AE =AF + AU</t>
  </si>
  <si>
    <t xml:space="preserve">Total seasonal faecal (AF) nitrogen excreted </t>
  </si>
  <si>
    <t>Total seasonal urinary (AU) nitrogen excreted</t>
  </si>
  <si>
    <t>4B.1a_9c</t>
  </si>
  <si>
    <t>Manure management for milking cows</t>
  </si>
  <si>
    <t>Manure management for other dairy cows</t>
  </si>
  <si>
    <t>kg N/season</t>
  </si>
  <si>
    <t>4D1_1</t>
  </si>
  <si>
    <t>Gg N/season</t>
  </si>
  <si>
    <t>EF = Emission factor</t>
  </si>
  <si>
    <t>Table 6.22</t>
  </si>
  <si>
    <t>Emission factor</t>
  </si>
  <si>
    <t>Gg N2O/farm/year</t>
  </si>
  <si>
    <t>4D1_2</t>
  </si>
  <si>
    <t>4D1_3</t>
  </si>
  <si>
    <t>4D1_4</t>
  </si>
  <si>
    <t>MMS = The fraction of AE that is managed in different manure management systems</t>
  </si>
  <si>
    <t>Total emissions (E)</t>
  </si>
  <si>
    <t>Total emissions</t>
  </si>
  <si>
    <t>Gg N2O/farm/season</t>
  </si>
  <si>
    <t>4D3_1</t>
  </si>
  <si>
    <t>4D3_2</t>
  </si>
  <si>
    <t>4D3_5</t>
  </si>
  <si>
    <t>4D3_6</t>
  </si>
  <si>
    <t>4D3_7</t>
  </si>
  <si>
    <t>Seasonal faecal and urinary nitrogen excreted (AE)</t>
  </si>
  <si>
    <t>Faecal methane production</t>
  </si>
  <si>
    <t>FracWET =</t>
  </si>
  <si>
    <t xml:space="preserve"> fraction of N available for leaching and runoff</t>
  </si>
  <si>
    <t xml:space="preserve">FracLEACH = </t>
  </si>
  <si>
    <t>L/day/head</t>
  </si>
  <si>
    <t>F = {0.3 x (CPI x (1 - [(DMD + 10) / 100])) + 0.105 x (ME x I x 0.008) + (0.0152 x I)} / 6.25</t>
  </si>
  <si>
    <t>E = (M x EF x Cg)</t>
  </si>
  <si>
    <t>M = M x FracWET x FracLEACH</t>
  </si>
  <si>
    <t>Mnsoil = mass of manure N applied to soils (animal wastes applied to soils)</t>
  </si>
  <si>
    <t>Unsoil = mass of urinary N applied to soils (animal production)</t>
  </si>
  <si>
    <t>Fnsoil =mass of faecal N applied to soils (animal production)</t>
  </si>
  <si>
    <t>M = mass of N lost through leaching and runoff</t>
  </si>
  <si>
    <t>Total N2O production from leaching and runoff</t>
  </si>
  <si>
    <t xml:space="preserve">Enteric methane production </t>
  </si>
  <si>
    <t>Nitrous Oxide production from different manure management systems (MMS)</t>
  </si>
  <si>
    <t>Nitrous Oxide production from agricultural soils</t>
  </si>
  <si>
    <t>Farm Name:</t>
  </si>
  <si>
    <t>Pasture</t>
  </si>
  <si>
    <t>% of all excreta</t>
  </si>
  <si>
    <r>
      <t>t CO</t>
    </r>
    <r>
      <rPr>
        <b/>
        <vertAlign val="subscript"/>
        <sz val="11"/>
        <rFont val="Times New Roman"/>
        <family val="1"/>
      </rPr>
      <t>2</t>
    </r>
    <r>
      <rPr>
        <b/>
        <sz val="11"/>
        <rFont val="Times New Roman"/>
        <family val="1"/>
      </rPr>
      <t>e/farm</t>
    </r>
  </si>
  <si>
    <t>Note no input can be made from this page - to input your data go to the Data Input tab</t>
  </si>
  <si>
    <t>Manure management milkers</t>
  </si>
  <si>
    <t>Manure management others</t>
  </si>
  <si>
    <t>Manure management %</t>
  </si>
  <si>
    <t>N fertiliser crops</t>
  </si>
  <si>
    <t>N fertiliser pastures</t>
  </si>
  <si>
    <t>kg N/ha</t>
  </si>
  <si>
    <t>Livestock numbers</t>
  </si>
  <si>
    <t>Crude protein (CP) content of  feed</t>
  </si>
  <si>
    <t>Choose your region in Australia</t>
  </si>
  <si>
    <t xml:space="preserve">Livestock numbers </t>
  </si>
  <si>
    <t>Inventory reference</t>
  </si>
  <si>
    <t>Daily Methane Yield (M)</t>
  </si>
  <si>
    <t>Livestock numbers (N)</t>
  </si>
  <si>
    <t>Liveweight (W)</t>
  </si>
  <si>
    <t>Milk production (MP)</t>
  </si>
  <si>
    <t>Dairy Bulls&gt;1</t>
  </si>
  <si>
    <t>Dairy Bulls&lt;1</t>
  </si>
  <si>
    <r>
      <t>Dairy - Greenhouse Accounting Decision Support Framework</t>
    </r>
    <r>
      <rPr>
        <b/>
        <sz val="12"/>
        <color indexed="12"/>
        <rFont val="Times New Roman"/>
        <family val="1"/>
      </rPr>
      <t/>
    </r>
  </si>
  <si>
    <t>Revised Inventory Reference</t>
  </si>
  <si>
    <t>3A.1a_1</t>
  </si>
  <si>
    <t>3A.1a_2</t>
  </si>
  <si>
    <t>M = 20.7 x I/1000</t>
  </si>
  <si>
    <t>3A.1a_3</t>
  </si>
  <si>
    <t>3A.1a_4</t>
  </si>
  <si>
    <t>Global Warming Potential and Coversion Factors</t>
  </si>
  <si>
    <t>Gas</t>
  </si>
  <si>
    <t>CO2-e</t>
  </si>
  <si>
    <t>CO2</t>
  </si>
  <si>
    <t>CF4</t>
  </si>
  <si>
    <t>C2F6</t>
  </si>
  <si>
    <t>SF6</t>
  </si>
  <si>
    <t>NF3</t>
  </si>
  <si>
    <t>Conversion Factor</t>
  </si>
  <si>
    <t>Nox</t>
  </si>
  <si>
    <t>CO2 Lime</t>
  </si>
  <si>
    <t>Revised Iventory Reference</t>
  </si>
  <si>
    <t>3B.1a_1</t>
  </si>
  <si>
    <t>Dry Matter Intake</t>
  </si>
  <si>
    <t>VS = (I x (1 - DMD) + (0.04 x I)) x (1 - A)</t>
  </si>
  <si>
    <t>3B.1a_2</t>
  </si>
  <si>
    <t>iMCF = Integrated methane conversion factor - based on the proportion  of different manure management regimes</t>
  </si>
  <si>
    <t>ACT</t>
  </si>
  <si>
    <t>NSW</t>
  </si>
  <si>
    <t>NT</t>
  </si>
  <si>
    <t>QLD</t>
  </si>
  <si>
    <t>SA</t>
  </si>
  <si>
    <t>TAS</t>
  </si>
  <si>
    <t>VIC</t>
  </si>
  <si>
    <t>1990-1994</t>
  </si>
  <si>
    <t>1995-1999</t>
  </si>
  <si>
    <t>2000-2004</t>
  </si>
  <si>
    <t>2005-2009</t>
  </si>
  <si>
    <t>2009-2014</t>
  </si>
  <si>
    <t>B = Emissions Potential</t>
  </si>
  <si>
    <t>Emissions Potential of Methane</t>
  </si>
  <si>
    <t>CH4/kg VS</t>
  </si>
  <si>
    <t>p = Denisty of Methane</t>
  </si>
  <si>
    <t>Production System</t>
  </si>
  <si>
    <t>State Reference</t>
  </si>
  <si>
    <t>Revised Invenstory Reference</t>
  </si>
  <si>
    <t>Intake relative to maintenance</t>
  </si>
  <si>
    <t>L = I / (1.185 + 0.00454 x W - 0.0000026 x W^2 + (0.315 x 0))^2</t>
  </si>
  <si>
    <t>4A.1b_4</t>
  </si>
  <si>
    <t>From previous NGGI</t>
  </si>
  <si>
    <t>3B.1a_5</t>
  </si>
  <si>
    <t>3B.1a_4</t>
  </si>
  <si>
    <t>Time period</t>
  </si>
  <si>
    <t>Bulls &gt;1</t>
  </si>
  <si>
    <t>Bulls &lt;1</t>
  </si>
  <si>
    <t>Table 5.A.3 Dairy cattle – standard reference weights (kg)</t>
  </si>
  <si>
    <t>MP Conversion</t>
  </si>
  <si>
    <t>Litres/kg of Milk</t>
  </si>
  <si>
    <t>3B.1a_6</t>
  </si>
  <si>
    <t>3B.1a_7</t>
  </si>
  <si>
    <t>Sump and Dispersal</t>
  </si>
  <si>
    <t>Drain to Paddocks</t>
  </si>
  <si>
    <t>Emission Factor</t>
  </si>
  <si>
    <t>3B.1a_9a,b</t>
  </si>
  <si>
    <t>MMS = 1 Pasture</t>
  </si>
  <si>
    <t>MMS = 2 Anaerobic Lagoon</t>
  </si>
  <si>
    <t>MMS = 3 Sump and Dispersal</t>
  </si>
  <si>
    <t>MMS = 5 Drain to Paddocks</t>
  </si>
  <si>
    <t>MMS = 8 Solid Storage</t>
  </si>
  <si>
    <t>Anaerobic Lagoon</t>
  </si>
  <si>
    <t>Soild Storage</t>
  </si>
  <si>
    <t>Revised inventory reference</t>
  </si>
  <si>
    <t>3DA_1</t>
  </si>
  <si>
    <t>AE = Mass of N excreted</t>
  </si>
  <si>
    <t>EF = Direct Nitrous Oxide EF</t>
  </si>
  <si>
    <t>FracGASM = Fraction of animal waste</t>
  </si>
  <si>
    <t>MN = Mass of animal waste N leached and runoff</t>
  </si>
  <si>
    <t>Sewage Sludge applied to Crops</t>
  </si>
  <si>
    <t>Sewage Sludge apllied to Pastures</t>
  </si>
  <si>
    <t>Area Pasture</t>
  </si>
  <si>
    <t>Area Crop</t>
  </si>
  <si>
    <t>Animal Wastes applied to soil</t>
  </si>
  <si>
    <t>FracGASM</t>
  </si>
  <si>
    <t>Atmospheric Deposition</t>
  </si>
  <si>
    <t>MN = ((FN + UN) x FracGASM)</t>
  </si>
  <si>
    <t>3B.5a_1</t>
  </si>
  <si>
    <t xml:space="preserve">Annual Faecal (FN) and Urinary (UN) Total N </t>
  </si>
  <si>
    <t>FN = AF x MMS</t>
  </si>
  <si>
    <t>UN = AU x MMS</t>
  </si>
  <si>
    <t>E = FN x EF x Cg</t>
  </si>
  <si>
    <t>E = UN x EF x Cg</t>
  </si>
  <si>
    <t>Fraction</t>
  </si>
  <si>
    <t>3B.1a_8a</t>
  </si>
  <si>
    <t>3B.1a_8b</t>
  </si>
  <si>
    <t>3B.5a_2</t>
  </si>
  <si>
    <t>Reference</t>
  </si>
  <si>
    <t>Table 5.23</t>
  </si>
  <si>
    <t>Total emissions (MN)</t>
  </si>
  <si>
    <t>Gg N/farm</t>
  </si>
  <si>
    <t>3B.5a_3</t>
  </si>
  <si>
    <t>MN = ((FN + UN) x FracWET x FracLEACH</t>
  </si>
  <si>
    <t>FracWET</t>
  </si>
  <si>
    <t>FractLEACH</t>
  </si>
  <si>
    <t>Gg N/Gg Applied</t>
  </si>
  <si>
    <t>Leaching and Run off for Solid Storage</t>
  </si>
  <si>
    <t>E = MN x EF x Cg</t>
  </si>
  <si>
    <t>3B.5a_4</t>
  </si>
  <si>
    <t xml:space="preserve">EF </t>
  </si>
  <si>
    <t>Cg</t>
  </si>
  <si>
    <t>3DA_2</t>
  </si>
  <si>
    <t>Leaching and Run off for Solid Storage (MN)</t>
  </si>
  <si>
    <t>3DA_3</t>
  </si>
  <si>
    <t>Gg N/farm/year</t>
  </si>
  <si>
    <t>E = (MN x EF x Cg)</t>
  </si>
  <si>
    <t>3DA_4</t>
  </si>
  <si>
    <t>GgN2O-N/Gg N deposited</t>
  </si>
  <si>
    <t>Gg N2O/farm</t>
  </si>
  <si>
    <t>Gg CO2e/farm</t>
  </si>
  <si>
    <t>t CO2e/farm</t>
  </si>
  <si>
    <t>Sewage Sludge Applied to Land</t>
  </si>
  <si>
    <t>3DA_5</t>
  </si>
  <si>
    <t>EF</t>
  </si>
  <si>
    <t>Urine and Dung Deposited During Grazing</t>
  </si>
  <si>
    <t>E = ((AF x EF x Cg) + (AU x EF x Cg))</t>
  </si>
  <si>
    <t>3DA_6</t>
  </si>
  <si>
    <t>Gg N2O/season/farm</t>
  </si>
  <si>
    <t>3DB_1</t>
  </si>
  <si>
    <t>3DB_2</t>
  </si>
  <si>
    <t>Liming</t>
  </si>
  <si>
    <t>Value</t>
  </si>
  <si>
    <t>Revised Reference</t>
  </si>
  <si>
    <t>Mass of limestone applied to soils (t)</t>
  </si>
  <si>
    <t>t</t>
  </si>
  <si>
    <t>Fraction of Limestone</t>
  </si>
  <si>
    <t>Fraction Purity of limestone</t>
  </si>
  <si>
    <t>Fractional Purity of Dolomite</t>
  </si>
  <si>
    <t>EF for Limestone</t>
  </si>
  <si>
    <t>EF for Dolomite</t>
  </si>
  <si>
    <t>E = ((M x FracLime x P X EF) + (M x (1-FracLime) x P x EF)) x Cg/1000</t>
  </si>
  <si>
    <t>3G_1</t>
  </si>
  <si>
    <t>CO2 emissions from Lime</t>
  </si>
  <si>
    <t>Limestone applied to soils</t>
  </si>
  <si>
    <t>Total for farm</t>
  </si>
  <si>
    <t>Diesel</t>
  </si>
  <si>
    <t>Tas</t>
  </si>
  <si>
    <t>Vic</t>
  </si>
  <si>
    <t>Annual diesel consumption</t>
  </si>
  <si>
    <t>Black Coal</t>
  </si>
  <si>
    <t>Brown Coal</t>
  </si>
  <si>
    <t>Renewables</t>
  </si>
  <si>
    <t>t CO2</t>
  </si>
  <si>
    <t>Black coal</t>
  </si>
  <si>
    <t>Brown coal</t>
  </si>
  <si>
    <t>Annual Gas Consumption (LPG)</t>
  </si>
  <si>
    <t>Emission Factor (LPG)</t>
  </si>
  <si>
    <t>CO2-e emissions from gas use</t>
  </si>
  <si>
    <t>Electricity</t>
  </si>
  <si>
    <t>Annual electricity use (kWh)</t>
  </si>
  <si>
    <t>Annual electricity use (MWh)</t>
  </si>
  <si>
    <t>MWh</t>
  </si>
  <si>
    <t>Ref</t>
  </si>
  <si>
    <t>Electricity Source</t>
  </si>
  <si>
    <t>State Grid</t>
  </si>
  <si>
    <t>Renewable</t>
  </si>
  <si>
    <t>Electricity Reference</t>
  </si>
  <si>
    <t>Proportion of Electricty Source</t>
  </si>
  <si>
    <t>Fuel Type</t>
  </si>
  <si>
    <t>t CO2/year</t>
  </si>
  <si>
    <t>Total CO2 Emissions Energy</t>
  </si>
  <si>
    <t>Non CO2 emissions from Diesel</t>
  </si>
  <si>
    <t>t CO2 e</t>
  </si>
  <si>
    <t>Non CO2 emissions from Natural Gas</t>
  </si>
  <si>
    <t>t CO2e</t>
  </si>
  <si>
    <t>Total CH4 Emissions</t>
  </si>
  <si>
    <t>Total N2O Emissions</t>
  </si>
  <si>
    <t>Energy</t>
  </si>
  <si>
    <t>Annual Gas Consumption</t>
  </si>
  <si>
    <t>Transport</t>
  </si>
  <si>
    <t>Distance cattle transported to farm</t>
  </si>
  <si>
    <t>kms</t>
  </si>
  <si>
    <t xml:space="preserve">Type of Truck used </t>
  </si>
  <si>
    <t>Trailer</t>
  </si>
  <si>
    <t>Kilometres Transported</t>
  </si>
  <si>
    <t>Type of Vehicle</t>
  </si>
  <si>
    <t>4 Deck Trailer</t>
  </si>
  <si>
    <t>6 Deck Trailer</t>
  </si>
  <si>
    <t>B-Double</t>
  </si>
  <si>
    <t>Vehicle Reference</t>
  </si>
  <si>
    <t>Fuel Usage</t>
  </si>
  <si>
    <t>l/km</t>
  </si>
  <si>
    <t>Fuel Usage Reference</t>
  </si>
  <si>
    <t>Diesel fuel</t>
  </si>
  <si>
    <t>Quantity</t>
  </si>
  <si>
    <t>kL</t>
  </si>
  <si>
    <t>Energy Content Factor</t>
  </si>
  <si>
    <t>GJ/kL</t>
  </si>
  <si>
    <t>CO2 Emissions Factor</t>
  </si>
  <si>
    <t>kg CO2-e/GJ</t>
  </si>
  <si>
    <t>CH4 Emissions Factor</t>
  </si>
  <si>
    <t>N2O Emissions Factor</t>
  </si>
  <si>
    <t>E = Emissions of gas type from fuel type</t>
  </si>
  <si>
    <t>Q =  Quantity of fuel type combusted for transport</t>
  </si>
  <si>
    <t>EC = Energy content factor of fuel type</t>
  </si>
  <si>
    <t>EF = Emission factor for each gas type</t>
  </si>
  <si>
    <t>CO2 Emissions from Diesel</t>
  </si>
  <si>
    <t>CH4 Emissions from Diesel</t>
  </si>
  <si>
    <t>N2O Emissions from Diesel</t>
  </si>
  <si>
    <t>Data input</t>
  </si>
  <si>
    <t>3DB_3</t>
  </si>
  <si>
    <t>Atmospheric nitrogen deposition Sewage Sludge</t>
  </si>
  <si>
    <t>New</t>
  </si>
  <si>
    <t>M</t>
  </si>
  <si>
    <t xml:space="preserve">Mass of sewage sludge volatised </t>
  </si>
  <si>
    <t>TM</t>
  </si>
  <si>
    <t>Total mass of sewage sludge</t>
  </si>
  <si>
    <t>FracGASF</t>
  </si>
  <si>
    <t>Atmospheric nitrogen deposition Inorganic Fertiliser</t>
  </si>
  <si>
    <t>3DB_4</t>
  </si>
  <si>
    <t>Mass of N volatilised from subset k</t>
  </si>
  <si>
    <t>3DB_5</t>
  </si>
  <si>
    <t>3DB_6</t>
  </si>
  <si>
    <t>M = (MNSoil + UNSoil + FNSoil) x FracGASM</t>
  </si>
  <si>
    <t>MNSoil = (((AE x (1 - EF - FracGASM)) - MN)</t>
  </si>
  <si>
    <t>FracWet</t>
  </si>
  <si>
    <t>Leaching and Runoff</t>
  </si>
  <si>
    <t>3DB_7</t>
  </si>
  <si>
    <t>The mass of sewage N applied to soils that is lost through leaching and runoff (M)</t>
  </si>
  <si>
    <t>FracWET  (fraction of N available for leaching and runoff)</t>
  </si>
  <si>
    <t>FracLEACH</t>
  </si>
  <si>
    <t>3DB_10</t>
  </si>
  <si>
    <t>EF (emission factor)</t>
  </si>
  <si>
    <r>
      <t>CO</t>
    </r>
    <r>
      <rPr>
        <vertAlign val="subscript"/>
        <sz val="11"/>
        <rFont val="Times New Roman"/>
        <family val="1"/>
      </rPr>
      <t>2</t>
    </r>
    <r>
      <rPr>
        <sz val="11"/>
        <rFont val="Times New Roman"/>
        <family val="1"/>
      </rPr>
      <t xml:space="preserve"> - Transport</t>
    </r>
  </si>
  <si>
    <r>
      <t>CH</t>
    </r>
    <r>
      <rPr>
        <vertAlign val="subscript"/>
        <sz val="11"/>
        <rFont val="Times New Roman"/>
        <family val="1"/>
      </rPr>
      <t>4</t>
    </r>
    <r>
      <rPr>
        <sz val="11"/>
        <rFont val="Times New Roman"/>
        <family val="1"/>
      </rPr>
      <t xml:space="preserve"> - Energy</t>
    </r>
  </si>
  <si>
    <r>
      <t>CH</t>
    </r>
    <r>
      <rPr>
        <vertAlign val="subscript"/>
        <sz val="11"/>
        <rFont val="Times New Roman"/>
        <family val="1"/>
      </rPr>
      <t>4</t>
    </r>
    <r>
      <rPr>
        <sz val="11"/>
        <rFont val="Times New Roman"/>
        <family val="1"/>
      </rPr>
      <t xml:space="preserve"> - Enteric</t>
    </r>
  </si>
  <si>
    <r>
      <t>CH</t>
    </r>
    <r>
      <rPr>
        <vertAlign val="subscript"/>
        <sz val="11"/>
        <rFont val="Times New Roman"/>
        <family val="1"/>
      </rPr>
      <t>4</t>
    </r>
    <r>
      <rPr>
        <sz val="11"/>
        <rFont val="Times New Roman"/>
        <family val="1"/>
      </rPr>
      <t xml:space="preserve"> - Transport</t>
    </r>
  </si>
  <si>
    <r>
      <t>N</t>
    </r>
    <r>
      <rPr>
        <vertAlign val="subscript"/>
        <sz val="11"/>
        <rFont val="Times New Roman"/>
        <family val="1"/>
      </rPr>
      <t>2</t>
    </r>
    <r>
      <rPr>
        <sz val="11"/>
        <rFont val="Times New Roman"/>
        <family val="1"/>
      </rPr>
      <t>O - Energy</t>
    </r>
  </si>
  <si>
    <r>
      <t>N</t>
    </r>
    <r>
      <rPr>
        <vertAlign val="subscript"/>
        <sz val="11"/>
        <rFont val="Times New Roman"/>
        <family val="1"/>
      </rPr>
      <t>2</t>
    </r>
    <r>
      <rPr>
        <sz val="11"/>
        <rFont val="Times New Roman"/>
        <family val="1"/>
      </rPr>
      <t>O - Transport</t>
    </r>
  </si>
  <si>
    <r>
      <t>CO</t>
    </r>
    <r>
      <rPr>
        <vertAlign val="subscript"/>
        <sz val="11"/>
        <rFont val="Times New Roman"/>
        <family val="1"/>
      </rPr>
      <t>2</t>
    </r>
  </si>
  <si>
    <r>
      <t>CH</t>
    </r>
    <r>
      <rPr>
        <vertAlign val="subscript"/>
        <sz val="11"/>
        <rFont val="Times New Roman"/>
        <family val="1"/>
      </rPr>
      <t>4</t>
    </r>
  </si>
  <si>
    <r>
      <t>N</t>
    </r>
    <r>
      <rPr>
        <vertAlign val="subscript"/>
        <sz val="11"/>
        <rFont val="Times New Roman"/>
        <family val="1"/>
      </rPr>
      <t>2</t>
    </r>
    <r>
      <rPr>
        <sz val="11"/>
        <rFont val="Times New Roman"/>
        <family val="1"/>
      </rPr>
      <t>O</t>
    </r>
  </si>
  <si>
    <t>Dryland</t>
  </si>
  <si>
    <t>Irrigated</t>
  </si>
  <si>
    <t>Nitrogen fertiliser crops TM</t>
  </si>
  <si>
    <t>Non-Irrigated</t>
  </si>
  <si>
    <t>N Fertiliser Pastures TM</t>
  </si>
  <si>
    <t>Sewage Sludge applied to Crops TM</t>
  </si>
  <si>
    <t>Sewage Sludge applied to Pastures TM</t>
  </si>
  <si>
    <t>FN</t>
  </si>
  <si>
    <t>Mass of Sewage Sludge appplied (M)</t>
  </si>
  <si>
    <t>Production system</t>
  </si>
  <si>
    <t>Irrigated pasture</t>
  </si>
  <si>
    <t>Irrigated crop</t>
  </si>
  <si>
    <t>Non-irrigated pasture</t>
  </si>
  <si>
    <t>Non-irrigated crop</t>
  </si>
  <si>
    <t>N2O emissions from synthetic fertiliser - Crops</t>
  </si>
  <si>
    <t>N2O emissions from synthetic fertiliser - Pasture</t>
  </si>
  <si>
    <t>Table 5-23</t>
  </si>
  <si>
    <t>Synthetic Fertiliser</t>
  </si>
  <si>
    <t>MMS</t>
  </si>
  <si>
    <t>(kg N2O-N/kg N excreted)</t>
  </si>
  <si>
    <t>Solid Storage</t>
  </si>
  <si>
    <t>FracGASMm</t>
  </si>
  <si>
    <t>Void at Pasture(a)</t>
  </si>
  <si>
    <t>Anaerobic lagoon(a)</t>
  </si>
  <si>
    <t>Daily Spread(a)</t>
  </si>
  <si>
    <t>Table 5.A.9 Dairy Cattle – N2O oxide emission factors and fraction of N volatilised by manure management system</t>
  </si>
  <si>
    <t>Sewage Sludge Emissions - Crops</t>
  </si>
  <si>
    <t>Sewage Sludge Emissions - Pasture</t>
  </si>
  <si>
    <t xml:space="preserve">FracGASF = </t>
  </si>
  <si>
    <t>N Sewage crops</t>
  </si>
  <si>
    <t>N Sewage Pastures</t>
  </si>
  <si>
    <t>Leaching and runoff from synthetic fertiliser - Crops</t>
  </si>
  <si>
    <t>Leaching and runoff from synthetic fertiliser - Pasture</t>
  </si>
  <si>
    <t>Leaching and runoff from Sewage Sludge - Crops</t>
  </si>
  <si>
    <t>Leaching and runoff from Sewage Sludge - Pasture</t>
  </si>
  <si>
    <t>Total Enteric Methane</t>
  </si>
  <si>
    <t xml:space="preserve">Total </t>
  </si>
  <si>
    <t>Total CH4 Manure</t>
  </si>
  <si>
    <t xml:space="preserve">Direct Nitrous Oxide Emissions </t>
  </si>
  <si>
    <t xml:space="preserve">Total Direct Nitrous Oxide Emissions </t>
  </si>
  <si>
    <t>Total Indirect Nitrous Oxide Emissions</t>
  </si>
  <si>
    <t>Australia’s thermal electricity generation capacity, 2009–10</t>
  </si>
  <si>
    <t>NSW/ACT</t>
  </si>
  <si>
    <t>SW WA</t>
  </si>
  <si>
    <t>Qld</t>
  </si>
  <si>
    <t>NT&amp;NW WA</t>
  </si>
  <si>
    <t>kL/year</t>
  </si>
  <si>
    <t xml:space="preserve">Table 3 (Dept of Environment 2015) </t>
  </si>
  <si>
    <t>Steam Black Coal</t>
  </si>
  <si>
    <t>Energy Content (ECi)</t>
  </si>
  <si>
    <t>Steam Brown Coal</t>
  </si>
  <si>
    <t>Emission Factor (Diesel Oil)</t>
  </si>
  <si>
    <t>Steam Gas</t>
  </si>
  <si>
    <t>Steam Multi-fuel</t>
  </si>
  <si>
    <t>Eij = (Qi x ECi x Efijoxec)*10^-3</t>
  </si>
  <si>
    <t>Reciprocating Engine</t>
  </si>
  <si>
    <t>Eij = emissions of gas type</t>
  </si>
  <si>
    <t>tCO2</t>
  </si>
  <si>
    <t>Open Cycle Conventional Gas</t>
  </si>
  <si>
    <t>Qi =  quantity of fuel type</t>
  </si>
  <si>
    <t>kl</t>
  </si>
  <si>
    <t xml:space="preserve">2.3.1 (Dept of Environment 2015) </t>
  </si>
  <si>
    <t>NW WA</t>
  </si>
  <si>
    <t>Open Cycle Coal Seam Gas</t>
  </si>
  <si>
    <t>ECi = energy content factor of fuel type</t>
  </si>
  <si>
    <t>Gj/l</t>
  </si>
  <si>
    <t>Selected State</t>
  </si>
  <si>
    <t>Open Cycle Oil Products</t>
  </si>
  <si>
    <t>EFijoxec = emission factor</t>
  </si>
  <si>
    <t>kg CO2-e/Gj</t>
  </si>
  <si>
    <t>Open Cycle Multi-fuel</t>
  </si>
  <si>
    <t>Combined Conventional Gas</t>
  </si>
  <si>
    <t>Combined Coal Seam Gas</t>
  </si>
  <si>
    <t>Weighted Average Emissions Intensity kg CO2/KWh</t>
  </si>
  <si>
    <t>Capacity of renewable electricity generation in Australia, 2010</t>
  </si>
  <si>
    <t>Distillate/Liquid Fuel</t>
  </si>
  <si>
    <t>Hydro</t>
  </si>
  <si>
    <t>Wind</t>
  </si>
  <si>
    <t>Bioenergy</t>
  </si>
  <si>
    <t>Solar</t>
  </si>
  <si>
    <t>Solar Thermal</t>
  </si>
  <si>
    <t>Geothermal</t>
  </si>
  <si>
    <t>Wave</t>
  </si>
  <si>
    <t>Total Renewables</t>
  </si>
  <si>
    <t>(Derived from ACIL ALLEN CONSULTING 2013, Tables 1&amp;2)</t>
  </si>
  <si>
    <t>Totals</t>
  </si>
  <si>
    <t>Proportion of Electricity Generation</t>
  </si>
  <si>
    <t>Electricty Reference Multiplier</t>
  </si>
  <si>
    <t xml:space="preserve">Weighted Average Emissions </t>
  </si>
  <si>
    <t>Fraction of Supply</t>
  </si>
  <si>
    <t>(Derived from Department of Resources, Energy and Tourism and Bureau of Resources and Energy Economics (2012), Tables 10 and 15)</t>
  </si>
  <si>
    <t>Source: Department of Resources, Energy and Tourism and Bureau of Resources and Energy Economics (2012), Tables 10 and 15</t>
  </si>
  <si>
    <t>kg CO2/KWh</t>
  </si>
  <si>
    <t>Region</t>
  </si>
  <si>
    <t xml:space="preserve">Generator </t>
  </si>
  <si>
    <t xml:space="preserve">Fuel type </t>
  </si>
  <si>
    <t xml:space="preserve">Emissions Intensity </t>
  </si>
  <si>
    <t>Capacity</t>
  </si>
  <si>
    <t xml:space="preserve">(kg CO2-e/kWh </t>
  </si>
  <si>
    <t xml:space="preserve">(gross kW) </t>
  </si>
  <si>
    <t>sent-out)</t>
  </si>
  <si>
    <t xml:space="preserve">AGL SF PV Broken Hill </t>
  </si>
  <si>
    <t xml:space="preserve">Solar </t>
  </si>
  <si>
    <t xml:space="preserve">AGL SF PV Nyngan </t>
  </si>
  <si>
    <t>Emissions from Electricity Generation</t>
  </si>
  <si>
    <t xml:space="preserve">Bayswater </t>
  </si>
  <si>
    <t xml:space="preserve">Black coal </t>
  </si>
  <si>
    <t>kg CO2</t>
  </si>
  <si>
    <t xml:space="preserve">Bendeela Pumps </t>
  </si>
  <si>
    <t xml:space="preserve">n/a </t>
  </si>
  <si>
    <t xml:space="preserve">Blowering </t>
  </si>
  <si>
    <t xml:space="preserve">Hydro </t>
  </si>
  <si>
    <t xml:space="preserve">Colongra </t>
  </si>
  <si>
    <t xml:space="preserve">Natural gas </t>
  </si>
  <si>
    <t xml:space="preserve">Eraring </t>
  </si>
  <si>
    <t>Renewable Energy</t>
  </si>
  <si>
    <t xml:space="preserve">Gunning Wind Farm </t>
  </si>
  <si>
    <t xml:space="preserve">Wind </t>
  </si>
  <si>
    <t xml:space="preserve">Guthega </t>
  </si>
  <si>
    <t>CO2-e emissions from electricity use</t>
  </si>
  <si>
    <t xml:space="preserve">Hume NSW </t>
  </si>
  <si>
    <t xml:space="preserve">Hunter Valley GT </t>
  </si>
  <si>
    <t xml:space="preserve">Liquid fuel </t>
  </si>
  <si>
    <t xml:space="preserve">Liddell </t>
  </si>
  <si>
    <t xml:space="preserve">Mt Piper </t>
  </si>
  <si>
    <t xml:space="preserve">Munmorah a </t>
  </si>
  <si>
    <t xml:space="preserve">Redbank </t>
  </si>
  <si>
    <t xml:space="preserve">Shoalhaven Bendeela </t>
  </si>
  <si>
    <t xml:space="preserve">Smithfield </t>
  </si>
  <si>
    <t>CH4 Emission Factor (Diesel Oil)</t>
  </si>
  <si>
    <t xml:space="preserve">Tallawarra </t>
  </si>
  <si>
    <t>N2O Emission Factor (Diesel Oil)</t>
  </si>
  <si>
    <t xml:space="preserve">Tumut 1 </t>
  </si>
  <si>
    <t xml:space="preserve">Tumut 3 </t>
  </si>
  <si>
    <t xml:space="preserve">Tumut 3 Pumps </t>
  </si>
  <si>
    <t>tCO2-e</t>
  </si>
  <si>
    <t xml:space="preserve">Uranquinty </t>
  </si>
  <si>
    <t xml:space="preserve">Vales Point B </t>
  </si>
  <si>
    <t>Gj/kL</t>
  </si>
  <si>
    <t xml:space="preserve">Wallerawang C </t>
  </si>
  <si>
    <t xml:space="preserve">Woodlawn Wind Farm </t>
  </si>
  <si>
    <t xml:space="preserve">Barcaldine </t>
  </si>
  <si>
    <t>CH4 emissions from diesel use</t>
  </si>
  <si>
    <t xml:space="preserve">Barron Gorge </t>
  </si>
  <si>
    <t>N2O emissions from diesel use</t>
  </si>
  <si>
    <t xml:space="preserve">Braemar 1 </t>
  </si>
  <si>
    <t xml:space="preserve">Braemar 2 </t>
  </si>
  <si>
    <t xml:space="preserve">Callide B </t>
  </si>
  <si>
    <t xml:space="preserve">Callide C </t>
  </si>
  <si>
    <t>Annual gas consumption</t>
  </si>
  <si>
    <t xml:space="preserve">Collinsville a </t>
  </si>
  <si>
    <t xml:space="preserve">Condamine </t>
  </si>
  <si>
    <t>CH4 Emission Factor (Gas)</t>
  </si>
  <si>
    <t xml:space="preserve">Darling Downs </t>
  </si>
  <si>
    <t>N2O Emission Factor (Gas)</t>
  </si>
  <si>
    <t xml:space="preserve">Gladstone </t>
  </si>
  <si>
    <t xml:space="preserve">Kareeya </t>
  </si>
  <si>
    <t xml:space="preserve">Kogan Creek </t>
  </si>
  <si>
    <t xml:space="preserve">Mackay GT </t>
  </si>
  <si>
    <t xml:space="preserve">Millmerran </t>
  </si>
  <si>
    <t xml:space="preserve">Mt Stuart </t>
  </si>
  <si>
    <t xml:space="preserve">Oakey </t>
  </si>
  <si>
    <t xml:space="preserve">Roma </t>
  </si>
  <si>
    <t>CH4 emissions from gas use</t>
  </si>
  <si>
    <t>t CO2-e</t>
  </si>
  <si>
    <t xml:space="preserve">Stanwell </t>
  </si>
  <si>
    <t>N2O emissions from gas use</t>
  </si>
  <si>
    <t xml:space="preserve">Swanbank B a </t>
  </si>
  <si>
    <t xml:space="preserve">Swanbank E </t>
  </si>
  <si>
    <t xml:space="preserve">Tarong </t>
  </si>
  <si>
    <t xml:space="preserve">Tarong North </t>
  </si>
  <si>
    <t xml:space="preserve">Townsville </t>
  </si>
  <si>
    <t>References</t>
  </si>
  <si>
    <t xml:space="preserve">Wivenhoe </t>
  </si>
  <si>
    <t>ACIL Allen Consulting (2013), Electricity Sector Emissions - Modelling of the Australian Electricity Generation Sector:</t>
  </si>
  <si>
    <t xml:space="preserve">Wivenhoe Pump </t>
  </si>
  <si>
    <t xml:space="preserve">Report to the Department Of Innovation, Industry, Climate Change, Science, Research and Tertiary Education, ACIL Allen Consulting </t>
  </si>
  <si>
    <t xml:space="preserve">Yarwun </t>
  </si>
  <si>
    <t>Department of Environment (2015) National Greenhouse Gas Factors - Australian National Greenhouse Accounts, Commonwealth of Australia</t>
  </si>
  <si>
    <t xml:space="preserve">Angaston </t>
  </si>
  <si>
    <t>Department of Resources, Energy and Tourism and Bureau of Resources and Energy Economics (2012) Energy in Australia 2012, Commonwealth of Australia</t>
  </si>
  <si>
    <t xml:space="preserve">Bluff WF </t>
  </si>
  <si>
    <t xml:space="preserve">Clements Gap Wind Farm </t>
  </si>
  <si>
    <t xml:space="preserve">Dry Creek </t>
  </si>
  <si>
    <t xml:space="preserve">Hallett </t>
  </si>
  <si>
    <t xml:space="preserve">Hallett 2 Wind Farm </t>
  </si>
  <si>
    <t xml:space="preserve">Hallett Wind Farm </t>
  </si>
  <si>
    <t xml:space="preserve">Ladbroke Grove </t>
  </si>
  <si>
    <t xml:space="preserve">Lake Bonney 2 Wind Farm </t>
  </si>
  <si>
    <t xml:space="preserve">Lake Bonney 3 Wind Farm </t>
  </si>
  <si>
    <t xml:space="preserve">Mintaro </t>
  </si>
  <si>
    <t xml:space="preserve">North Brown Hill Wind Farm </t>
  </si>
  <si>
    <t xml:space="preserve">Northern </t>
  </si>
  <si>
    <t xml:space="preserve">Brown coal </t>
  </si>
  <si>
    <t xml:space="preserve">Osborne </t>
  </si>
  <si>
    <t xml:space="preserve">Pelican Point </t>
  </si>
  <si>
    <t xml:space="preserve">Playford B a </t>
  </si>
  <si>
    <t xml:space="preserve">Port Lincoln </t>
  </si>
  <si>
    <t xml:space="preserve">Quarantine </t>
  </si>
  <si>
    <t xml:space="preserve">Snowtown 2 Wind Farm </t>
  </si>
  <si>
    <t xml:space="preserve">Snowtown Wind Farm </t>
  </si>
  <si>
    <t xml:space="preserve">Snuggery </t>
  </si>
  <si>
    <t xml:space="preserve">Torrens Island A </t>
  </si>
  <si>
    <t xml:space="preserve">Torrens Island B </t>
  </si>
  <si>
    <t xml:space="preserve">Waterloo Wind Farm </t>
  </si>
  <si>
    <t xml:space="preserve">Bastyan </t>
  </si>
  <si>
    <t xml:space="preserve">Bell Bay </t>
  </si>
  <si>
    <t xml:space="preserve">Bell Bay Three </t>
  </si>
  <si>
    <t xml:space="preserve">Cethana </t>
  </si>
  <si>
    <t xml:space="preserve">Devils Gate </t>
  </si>
  <si>
    <t xml:space="preserve">Fisher </t>
  </si>
  <si>
    <t xml:space="preserve">Gordon </t>
  </si>
  <si>
    <t xml:space="preserve">John Butters </t>
  </si>
  <si>
    <t xml:space="preserve">Lake Echo </t>
  </si>
  <si>
    <t xml:space="preserve">Lemonthyme_Wilmot </t>
  </si>
  <si>
    <t xml:space="preserve">Liapootah_Wayatinah_Catagunya </t>
  </si>
  <si>
    <t xml:space="preserve">Mackintosh </t>
  </si>
  <si>
    <t xml:space="preserve">Meadowbank </t>
  </si>
  <si>
    <t xml:space="preserve">Musselroe Wind Farm </t>
  </si>
  <si>
    <t xml:space="preserve">Poatina </t>
  </si>
  <si>
    <t xml:space="preserve">Reece </t>
  </si>
  <si>
    <t xml:space="preserve">Tamar Valley </t>
  </si>
  <si>
    <t xml:space="preserve">Tamar Valley GT </t>
  </si>
  <si>
    <t xml:space="preserve">Tarraleah </t>
  </si>
  <si>
    <t xml:space="preserve">Trevallyn </t>
  </si>
  <si>
    <t xml:space="preserve">Tribute </t>
  </si>
  <si>
    <t xml:space="preserve">Tungatinah </t>
  </si>
  <si>
    <t xml:space="preserve">Anglesea </t>
  </si>
  <si>
    <t xml:space="preserve">Bairnsdale </t>
  </si>
  <si>
    <t xml:space="preserve">Dartmouth </t>
  </si>
  <si>
    <t xml:space="preserve">Eildon </t>
  </si>
  <si>
    <t xml:space="preserve">Energy Brix </t>
  </si>
  <si>
    <t xml:space="preserve">Hazelwood </t>
  </si>
  <si>
    <t xml:space="preserve">Hume VIC </t>
  </si>
  <si>
    <t xml:space="preserve">Jeeralang A </t>
  </si>
  <si>
    <t xml:space="preserve">Jeeralang B </t>
  </si>
  <si>
    <t xml:space="preserve">Laverton North </t>
  </si>
  <si>
    <t xml:space="preserve">Loy Yang A </t>
  </si>
  <si>
    <t xml:space="preserve">Loy Yang B </t>
  </si>
  <si>
    <t xml:space="preserve">Macarthur Wind Farm </t>
  </si>
  <si>
    <t xml:space="preserve">McKay </t>
  </si>
  <si>
    <t xml:space="preserve">Mortlake </t>
  </si>
  <si>
    <t xml:space="preserve">Mt Mercer Wind Farm </t>
  </si>
  <si>
    <t xml:space="preserve">Murray </t>
  </si>
  <si>
    <t xml:space="preserve">Newport </t>
  </si>
  <si>
    <t xml:space="preserve">Oaklands Hill Wind Farm </t>
  </si>
  <si>
    <t xml:space="preserve">Somerton </t>
  </si>
  <si>
    <t xml:space="preserve">Valley Power </t>
  </si>
  <si>
    <t xml:space="preserve">West Kiewa </t>
  </si>
  <si>
    <t xml:space="preserve">Yallourn </t>
  </si>
  <si>
    <t xml:space="preserve">Albany </t>
  </si>
  <si>
    <t xml:space="preserve">Alcoa Kwinana Cogen </t>
  </si>
  <si>
    <t xml:space="preserve">Alcoa Pinjarra Cogen </t>
  </si>
  <si>
    <t xml:space="preserve">Alcoa Wagerup Cogen </t>
  </si>
  <si>
    <t xml:space="preserve">Bluewaters </t>
  </si>
  <si>
    <t xml:space="preserve">BP Cogen </t>
  </si>
  <si>
    <t xml:space="preserve">Canning/Melville LFG </t>
  </si>
  <si>
    <t xml:space="preserve">Landfill gas </t>
  </si>
  <si>
    <t xml:space="preserve">Cockburn </t>
  </si>
  <si>
    <t xml:space="preserve">Collgar Wind Farm </t>
  </si>
  <si>
    <t xml:space="preserve">Collie </t>
  </si>
  <si>
    <t xml:space="preserve">Emu downs </t>
  </si>
  <si>
    <t xml:space="preserve">Geraldton </t>
  </si>
  <si>
    <t xml:space="preserve">Distillate </t>
  </si>
  <si>
    <t xml:space="preserve">Grasmere </t>
  </si>
  <si>
    <t xml:space="preserve">Greenough River </t>
  </si>
  <si>
    <t xml:space="preserve">Kalgoorlie </t>
  </si>
  <si>
    <t xml:space="preserve">Kalgoorlie Nickel </t>
  </si>
  <si>
    <t xml:space="preserve">Kemerton </t>
  </si>
  <si>
    <t xml:space="preserve">Kwinana A </t>
  </si>
  <si>
    <t xml:space="preserve">Kwinana B </t>
  </si>
  <si>
    <t xml:space="preserve">Kwinana C </t>
  </si>
  <si>
    <t xml:space="preserve">Kwinana GT </t>
  </si>
  <si>
    <t xml:space="preserve">Kwinana HEGT </t>
  </si>
  <si>
    <t xml:space="preserve">Muja A&amp;B </t>
  </si>
  <si>
    <t xml:space="preserve">Muja C </t>
  </si>
  <si>
    <t xml:space="preserve">Muja D </t>
  </si>
  <si>
    <t xml:space="preserve">Mumbida </t>
  </si>
  <si>
    <t xml:space="preserve">Mungarra </t>
  </si>
  <si>
    <t xml:space="preserve">Namarkkon </t>
  </si>
  <si>
    <t xml:space="preserve">Neerabup Peaker </t>
  </si>
  <si>
    <t xml:space="preserve">Newgen Power </t>
  </si>
  <si>
    <t xml:space="preserve">Parkeston SCE </t>
  </si>
  <si>
    <t xml:space="preserve">Pinjar A B </t>
  </si>
  <si>
    <t xml:space="preserve">Pinjar C </t>
  </si>
  <si>
    <t xml:space="preserve">Pinjar D </t>
  </si>
  <si>
    <t xml:space="preserve">Pinjarra Alinta Cogen </t>
  </si>
  <si>
    <t xml:space="preserve">Tesla (various sites) </t>
  </si>
  <si>
    <t xml:space="preserve">Tiwest Cogen </t>
  </si>
  <si>
    <t xml:space="preserve">Wagerup Alinta Peaker </t>
  </si>
  <si>
    <t xml:space="preserve">Walkaway </t>
  </si>
  <si>
    <t xml:space="preserve">Western Energy Peaker </t>
  </si>
  <si>
    <t xml:space="preserve">Worsley </t>
  </si>
  <si>
    <t xml:space="preserve">Worsley SWCJV </t>
  </si>
  <si>
    <t xml:space="preserve">Burrup Peninsula </t>
  </si>
  <si>
    <t xml:space="preserve">Cape Lambert a </t>
  </si>
  <si>
    <t xml:space="preserve">Cape Preston </t>
  </si>
  <si>
    <t xml:space="preserve">Dampier a </t>
  </si>
  <si>
    <t xml:space="preserve">Karratha </t>
  </si>
  <si>
    <t xml:space="preserve">Karratha ACTO </t>
  </si>
  <si>
    <t xml:space="preserve">Paraburdoo </t>
  </si>
  <si>
    <t xml:space="preserve">Port Hedland </t>
  </si>
  <si>
    <t xml:space="preserve">Berrimah </t>
  </si>
  <si>
    <t xml:space="preserve">Channel Island u1-3 </t>
  </si>
  <si>
    <t xml:space="preserve">Channel Island u4-6 </t>
  </si>
  <si>
    <t xml:space="preserve">Channel Island u7 </t>
  </si>
  <si>
    <t xml:space="preserve">Channel Island u8-9 </t>
  </si>
  <si>
    <t xml:space="preserve">Katherine </t>
  </si>
  <si>
    <t xml:space="preserve">LMS Shoal Bay </t>
  </si>
  <si>
    <t xml:space="preserve">Pine Creek CCGT </t>
  </si>
  <si>
    <t xml:space="preserve">Weddell </t>
  </si>
  <si>
    <t>(Source: ACIL ALLEN CONSULTING 2013, Tables 1&amp;2)</t>
  </si>
  <si>
    <t>E = (Q x EC x EF)*10^-3</t>
  </si>
  <si>
    <t>Department of the Environment 2015</t>
  </si>
  <si>
    <t>2.1.3</t>
  </si>
  <si>
    <t>Comment</t>
  </si>
  <si>
    <t>No change</t>
  </si>
  <si>
    <t>Amended</t>
  </si>
  <si>
    <t>E = ((N x M x 365) + (N x M X 281) + (N x NPW x 84) x 10^-6</t>
  </si>
  <si>
    <t>MPW</t>
  </si>
  <si>
    <t>Density of methane (p)</t>
  </si>
  <si>
    <t>(Table 5.A.6)</t>
  </si>
  <si>
    <t>3B.1a_3</t>
  </si>
  <si>
    <t>E = ((N x M x 365) + (N x M X 281) + (N x MPW x 84) x 10^-6</t>
  </si>
  <si>
    <t>Not included</t>
  </si>
  <si>
    <t>No Change</t>
  </si>
  <si>
    <t>Irrigated Pasture</t>
  </si>
  <si>
    <t>Non-irrigated Pasture</t>
  </si>
  <si>
    <t>Irrigated Crop</t>
  </si>
  <si>
    <t>Non Irrigated Crop</t>
  </si>
  <si>
    <t>Table 5.A.9</t>
  </si>
  <si>
    <t xml:space="preserve">Indirect Nitrous Oxide Emissions </t>
  </si>
  <si>
    <t>4D1_10</t>
  </si>
  <si>
    <t>4D3_3</t>
  </si>
  <si>
    <t>4D3_9</t>
  </si>
  <si>
    <t>Nitrous oxide emissions from Urea Application</t>
  </si>
  <si>
    <t>Urea Fertiliser Crops</t>
  </si>
  <si>
    <t>Urea Fertiliser Pasture</t>
  </si>
  <si>
    <t>Fertiliser application Crops</t>
  </si>
  <si>
    <t>kg/ha</t>
  </si>
  <si>
    <t>Fertiliser application Pasture</t>
  </si>
  <si>
    <t>Total mass of fertiliser TM</t>
  </si>
  <si>
    <t>t Urea</t>
  </si>
  <si>
    <t>M = (M x EF x C)/1000</t>
  </si>
  <si>
    <t>3H_1</t>
  </si>
  <si>
    <t>New equation</t>
  </si>
  <si>
    <t>TM = Mass of Urea applied to soils</t>
  </si>
  <si>
    <t>EF =</t>
  </si>
  <si>
    <t>C =</t>
  </si>
  <si>
    <t>Gg CO2e</t>
  </si>
  <si>
    <r>
      <t>N</t>
    </r>
    <r>
      <rPr>
        <vertAlign val="subscript"/>
        <sz val="11"/>
        <rFont val="Times New Roman"/>
        <family val="1"/>
      </rPr>
      <t>2</t>
    </r>
    <r>
      <rPr>
        <sz val="11"/>
        <rFont val="Times New Roman"/>
        <family val="1"/>
      </rPr>
      <t>O - Direct Fertiliser</t>
    </r>
  </si>
  <si>
    <r>
      <t>N</t>
    </r>
    <r>
      <rPr>
        <vertAlign val="subscript"/>
        <sz val="11"/>
        <rFont val="Times New Roman"/>
        <family val="1"/>
      </rPr>
      <t>2</t>
    </r>
    <r>
      <rPr>
        <sz val="11"/>
        <rFont val="Times New Roman"/>
        <family val="1"/>
      </rPr>
      <t>O - Direct Dung &amp; Urine</t>
    </r>
  </si>
  <si>
    <r>
      <t>N</t>
    </r>
    <r>
      <rPr>
        <vertAlign val="subscript"/>
        <sz val="11"/>
        <rFont val="Times New Roman"/>
        <family val="1"/>
      </rPr>
      <t>2</t>
    </r>
    <r>
      <rPr>
        <sz val="11"/>
        <rFont val="Times New Roman"/>
        <family val="1"/>
      </rPr>
      <t>O - Manure Management</t>
    </r>
  </si>
  <si>
    <r>
      <t>CH</t>
    </r>
    <r>
      <rPr>
        <vertAlign val="subscript"/>
        <sz val="11"/>
        <rFont val="Times New Roman"/>
        <family val="1"/>
      </rPr>
      <t>4</t>
    </r>
    <r>
      <rPr>
        <sz val="11"/>
        <rFont val="Times New Roman"/>
        <family val="1"/>
      </rPr>
      <t xml:space="preserve"> - Manure Management</t>
    </r>
  </si>
  <si>
    <t xml:space="preserve">Fraction of Annual Faecal and Urinary </t>
  </si>
  <si>
    <t>Minor Amendment</t>
  </si>
  <si>
    <t>3B.1a_10a,b</t>
  </si>
  <si>
    <t>E = MNatmos x EF X Cg</t>
  </si>
  <si>
    <t>Total Nitrous Oxide Emissions</t>
  </si>
  <si>
    <r>
      <t>N</t>
    </r>
    <r>
      <rPr>
        <vertAlign val="subscript"/>
        <sz val="11"/>
        <rFont val="Times New Roman"/>
        <family val="1"/>
      </rPr>
      <t>2</t>
    </r>
    <r>
      <rPr>
        <sz val="11"/>
        <rFont val="Times New Roman"/>
        <family val="1"/>
      </rPr>
      <t xml:space="preserve">O - Sewage </t>
    </r>
  </si>
  <si>
    <r>
      <t>N</t>
    </r>
    <r>
      <rPr>
        <vertAlign val="subscript"/>
        <sz val="11"/>
        <rFont val="Times New Roman"/>
        <family val="1"/>
      </rPr>
      <t>2</t>
    </r>
    <r>
      <rPr>
        <sz val="11"/>
        <rFont val="Times New Roman"/>
        <family val="1"/>
      </rPr>
      <t>O - Animal Wastes</t>
    </r>
  </si>
  <si>
    <r>
      <t>CO</t>
    </r>
    <r>
      <rPr>
        <vertAlign val="subscript"/>
        <sz val="11"/>
        <rFont val="Times New Roman"/>
        <family val="1"/>
      </rPr>
      <t>2</t>
    </r>
    <r>
      <rPr>
        <sz val="11"/>
        <rFont val="Times New Roman"/>
        <family val="1"/>
      </rPr>
      <t xml:space="preserve"> - Lime</t>
    </r>
  </si>
  <si>
    <r>
      <t>CO</t>
    </r>
    <r>
      <rPr>
        <vertAlign val="subscript"/>
        <sz val="11"/>
        <rFont val="Times New Roman"/>
        <family val="1"/>
      </rPr>
      <t>2</t>
    </r>
    <r>
      <rPr>
        <sz val="11"/>
        <rFont val="Times New Roman"/>
        <family val="1"/>
      </rPr>
      <t xml:space="preserve"> - Urea</t>
    </r>
  </si>
  <si>
    <r>
      <t>CO</t>
    </r>
    <r>
      <rPr>
        <vertAlign val="subscript"/>
        <sz val="11"/>
        <rFont val="Times New Roman"/>
        <family val="1"/>
      </rPr>
      <t>2</t>
    </r>
    <r>
      <rPr>
        <sz val="11"/>
        <rFont val="Times New Roman"/>
        <family val="1"/>
      </rPr>
      <t xml:space="preserve"> - Energy</t>
    </r>
  </si>
  <si>
    <t>Total from N2O emissions from synthetic fertiliser</t>
  </si>
  <si>
    <t>Total Emission Animal Wastes applied to soil</t>
  </si>
  <si>
    <t>Total Emissions Sewage Sludge Applied to Land</t>
  </si>
  <si>
    <t>Total Emissions Urine and Dung Deposited During Grazing</t>
  </si>
  <si>
    <t>Total Emissions Atmospheric Deposition</t>
  </si>
  <si>
    <r>
      <t>N</t>
    </r>
    <r>
      <rPr>
        <vertAlign val="subscript"/>
        <sz val="11"/>
        <rFont val="Times New Roman"/>
        <family val="1"/>
      </rPr>
      <t>2</t>
    </r>
    <r>
      <rPr>
        <sz val="11"/>
        <rFont val="Times New Roman"/>
        <family val="1"/>
      </rPr>
      <t>O - Atmospheric Deposition</t>
    </r>
  </si>
  <si>
    <r>
      <t>N</t>
    </r>
    <r>
      <rPr>
        <vertAlign val="subscript"/>
        <sz val="11"/>
        <rFont val="Times New Roman"/>
        <family val="1"/>
      </rPr>
      <t>2</t>
    </r>
    <r>
      <rPr>
        <sz val="11"/>
        <rFont val="Times New Roman"/>
        <family val="1"/>
      </rPr>
      <t>O - Leaching</t>
    </r>
  </si>
  <si>
    <t>-</t>
  </si>
  <si>
    <t>Dairy Farm</t>
  </si>
  <si>
    <t>MI = MP x 1.03 x 3.054 (MJ net energy/kg milk) / 0.6 / (0.00795 x DMD - 0.0014) / 18.4</t>
  </si>
  <si>
    <r>
      <t>NR = {(0.032 x (MP x 1.03/6.38)) + {0.212-0.008 x (L</t>
    </r>
    <r>
      <rPr>
        <b/>
        <vertAlign val="subscript"/>
        <sz val="12"/>
        <rFont val="Times New Roman"/>
        <family val="1"/>
      </rPr>
      <t xml:space="preserve"> </t>
    </r>
    <r>
      <rPr>
        <b/>
        <sz val="12"/>
        <rFont val="Times New Roman"/>
        <family val="1"/>
      </rPr>
      <t>- 2) - [(0.140 - 0.008 x (L</t>
    </r>
    <r>
      <rPr>
        <b/>
        <vertAlign val="subscript"/>
        <sz val="12"/>
        <rFont val="Times New Roman"/>
        <family val="1"/>
      </rPr>
      <t xml:space="preserve"> </t>
    </r>
    <r>
      <rPr>
        <b/>
        <sz val="12"/>
        <rFont val="Times New Roman"/>
        <family val="1"/>
      </rPr>
      <t>- 2)) / (1+exp x (-6 x (Z - 0.4)))]} x (LWG x 0.92)} /6.25</t>
    </r>
  </si>
  <si>
    <t>Lagoon</t>
  </si>
  <si>
    <t>Sump/dispersal</t>
  </si>
  <si>
    <t>Drain to paddock</t>
  </si>
  <si>
    <t>Solid storage</t>
  </si>
  <si>
    <t>Victoria</t>
  </si>
  <si>
    <t>New.South.Wales</t>
  </si>
  <si>
    <t>Tasmania</t>
  </si>
  <si>
    <t>Queensland</t>
  </si>
  <si>
    <t>South.Australia</t>
  </si>
  <si>
    <t>Western.Australia</t>
  </si>
  <si>
    <t>Northern.Territory</t>
  </si>
  <si>
    <t>Table 5.A.7 Dairy Cattle - Methane Conversion Factors (MCF)</t>
  </si>
  <si>
    <t>Pasture(a)</t>
  </si>
  <si>
    <t>Anaerobic lagoon</t>
  </si>
  <si>
    <t>Sump and disperal systems</t>
  </si>
  <si>
    <t>Drains to paddock</t>
  </si>
  <si>
    <t xml:space="preserve">M = VS x Bo x MCF x p </t>
  </si>
  <si>
    <t>MCF</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</si>
</sst>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quot;$&quot;* #,##0.00_-;_-&quot;$&quot;* &quot;-&quot;??_-;_-@_-"/>
    <numFmt numFmtId="43" formatCode="_-* #,##0.00_-;\-* #,##0.00_-;_-* &quot;-&quot;??_-;_-@_-"/>
    <numFmt numFmtId="164" formatCode="0.00000"/>
    <numFmt numFmtId="165" formatCode="0.0000"/>
    <numFmt numFmtId="166" formatCode="0.000"/>
    <numFmt numFmtId="167" formatCode="0.0"/>
    <numFmt numFmtId="168" formatCode="0.0000000"/>
    <numFmt numFmtId="169" formatCode="_-* #,##0_-;\-* #,##0_-;_-* &quot;-&quot;??_-;_-@_-"/>
    <numFmt numFmtId="170" formatCode="0.0E+00;\_x0000_"/>
    <numFmt numFmtId="171" formatCode="0.000000"/>
    <numFmt numFmtId="172" formatCode="0.00000000"/>
    <numFmt numFmtId="173" formatCode="0.0000000000"/>
  </numFmts>
  <fonts count="40" x14ac:knownFonts="1">
    <font>
      <sz val="10"/>
      <name val="Arial"/>
    </font>
    <font>
      <sz val="10"/>
      <name val="Arial"/>
      <family val="2"/>
    </font>
    <font>
      <sz val="11"/>
      <name val="Times New Roman"/>
      <family val="1"/>
    </font>
    <font>
      <sz val="12"/>
      <name val="Times New Roman"/>
      <family val="1"/>
    </font>
    <font>
      <b/>
      <sz val="12"/>
      <name val="Times New Roman"/>
      <family val="1"/>
    </font>
    <font>
      <b/>
      <sz val="11"/>
      <name val="Times New Roman"/>
      <family val="1"/>
    </font>
    <font>
      <sz val="10"/>
      <name val="Times New Roman"/>
      <family val="1"/>
    </font>
    <font>
      <sz val="10"/>
      <name val="Arial"/>
      <family val="2"/>
    </font>
    <font>
      <b/>
      <i/>
      <sz val="12"/>
      <name val="Times New Roman"/>
      <family val="1"/>
    </font>
    <font>
      <sz val="14"/>
      <name val="Times New Roman"/>
      <family val="1"/>
    </font>
    <font>
      <sz val="8"/>
      <color indexed="81"/>
      <name val="Tahoma"/>
      <family val="2"/>
    </font>
    <font>
      <b/>
      <vertAlign val="subscript"/>
      <sz val="12"/>
      <name val="Times New Roman"/>
      <family val="1"/>
    </font>
    <font>
      <b/>
      <sz val="12"/>
      <color indexed="12"/>
      <name val="Times New Roman"/>
      <family val="1"/>
    </font>
    <font>
      <b/>
      <sz val="14"/>
      <name val="Times New Roman"/>
      <family val="1"/>
    </font>
    <font>
      <b/>
      <vertAlign val="superscript"/>
      <sz val="12"/>
      <name val="Times New Roman"/>
      <family val="1"/>
    </font>
    <font>
      <sz val="11"/>
      <name val="Arial"/>
      <family val="2"/>
    </font>
    <font>
      <b/>
      <sz val="10"/>
      <name val="Times New Roman"/>
      <family val="1"/>
    </font>
    <font>
      <b/>
      <vertAlign val="subscript"/>
      <sz val="11"/>
      <name val="Times New Roman"/>
      <family val="1"/>
    </font>
    <font>
      <sz val="11"/>
      <color theme="1"/>
      <name val="Calibri"/>
      <family val="2"/>
      <scheme val="minor"/>
    </font>
    <font>
      <sz val="12"/>
      <color theme="1"/>
      <name val="Times New Roman"/>
      <family val="1"/>
    </font>
    <font>
      <b/>
      <sz val="12"/>
      <color theme="1"/>
      <name val="Times New Roman"/>
      <family val="1"/>
    </font>
    <font>
      <sz val="12"/>
      <color rgb="FF92D050"/>
      <name val="Times New Roman"/>
      <family val="1"/>
    </font>
    <font>
      <sz val="12"/>
      <color rgb="FFFF0000"/>
      <name val="Times New Roman"/>
      <family val="1"/>
    </font>
    <font>
      <sz val="11"/>
      <color theme="1"/>
      <name val="Times New Roman"/>
      <family val="1"/>
    </font>
    <font>
      <sz val="11"/>
      <color theme="7" tint="0.59999389629810485"/>
      <name val="Times New Roman"/>
      <family val="1"/>
    </font>
    <font>
      <b/>
      <sz val="11"/>
      <color theme="1"/>
      <name val="Times New Roman"/>
      <family val="1"/>
    </font>
    <font>
      <i/>
      <sz val="10"/>
      <color rgb="FFFF0000"/>
      <name val="Times New Roman"/>
      <family val="1"/>
    </font>
    <font>
      <u/>
      <sz val="10"/>
      <color theme="11"/>
      <name val="Arial"/>
      <family val="2"/>
    </font>
    <font>
      <b/>
      <sz val="10"/>
      <name val="Arial"/>
      <family val="2"/>
    </font>
    <font>
      <b/>
      <sz val="12"/>
      <color rgb="FF000000"/>
      <name val="Times New Roman"/>
      <family val="1"/>
    </font>
    <font>
      <vertAlign val="subscript"/>
      <sz val="11"/>
      <name val="Times New Roman"/>
      <family val="1"/>
    </font>
    <font>
      <u/>
      <sz val="10"/>
      <color theme="10"/>
      <name val="Arial"/>
      <family val="2"/>
    </font>
    <font>
      <b/>
      <sz val="16"/>
      <name val="Times New Roman"/>
      <family val="1"/>
    </font>
    <font>
      <sz val="12"/>
      <name val="Times"/>
    </font>
    <font>
      <b/>
      <sz val="12"/>
      <color theme="1"/>
      <name val="Times"/>
    </font>
    <font>
      <b/>
      <sz val="12"/>
      <name val="Times"/>
    </font>
    <font>
      <sz val="9"/>
      <color indexed="81"/>
      <name val="Arial"/>
      <family val="2"/>
    </font>
    <font>
      <b/>
      <sz val="9"/>
      <color indexed="81"/>
      <name val="Arial"/>
      <family val="2"/>
    </font>
    <font>
      <sz val="12"/>
      <color rgb="FF000000"/>
      <name val="Times New Roman"/>
      <family val="1"/>
    </font>
    <font>
      <sz val="8"/>
      <color indexed="8"/>
      <name val="Tahoma"/>
      <family val="2"/>
    </font>
  </fonts>
  <fills count="28">
    <fill>
      <patternFill patternType="none"/>
    </fill>
    <fill>
      <patternFill patternType="gray125"/>
    </fill>
    <fill>
      <patternFill patternType="solid">
        <fgColor theme="6" tint="0.59999389629810485"/>
        <bgColor indexed="65"/>
      </patternFill>
    </fill>
    <fill>
      <patternFill patternType="solid">
        <fgColor theme="7" tint="0.59999389629810485"/>
        <bgColor indexed="65"/>
      </patternFill>
    </fill>
    <fill>
      <patternFill patternType="solid">
        <fgColor theme="4"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FAFDD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rgb="FFFFFF00"/>
        <bgColor indexed="64"/>
      </patternFill>
    </fill>
    <fill>
      <patternFill patternType="solid">
        <fgColor theme="9" tint="0.59999389629810485"/>
        <bgColor indexed="64"/>
      </patternFill>
    </fill>
    <fill>
      <patternFill patternType="solid">
        <fgColor rgb="FFCCC0DA"/>
        <bgColor rgb="FF000000"/>
      </patternFill>
    </fill>
    <fill>
      <patternFill patternType="solid">
        <fgColor rgb="FFFFFFFF"/>
        <bgColor rgb="FF000000"/>
      </patternFill>
    </fill>
    <fill>
      <patternFill patternType="solid">
        <fgColor theme="0"/>
        <bgColor indexed="64"/>
      </patternFill>
    </fill>
    <fill>
      <patternFill patternType="solid">
        <fgColor rgb="FFFCD5B4"/>
        <bgColor rgb="FF000000"/>
      </patternFill>
    </fill>
    <fill>
      <patternFill patternType="solid">
        <fgColor rgb="FFFDE9D9"/>
        <bgColor rgb="FF000000"/>
      </patternFill>
    </fill>
    <fill>
      <patternFill patternType="solid">
        <fgColor rgb="FFE6B8B7"/>
        <bgColor rgb="FF000000"/>
      </patternFill>
    </fill>
    <fill>
      <patternFill patternType="solid">
        <fgColor rgb="FFF2DCDB"/>
        <bgColor rgb="FF000000"/>
      </patternFill>
    </fill>
    <fill>
      <patternFill patternType="solid">
        <fgColor theme="2" tint="-9.9978637043366805E-2"/>
        <bgColor indexed="64"/>
      </patternFill>
    </fill>
    <fill>
      <patternFill patternType="solid">
        <fgColor theme="2" tint="-0.249977111117893"/>
        <bgColor indexed="64"/>
      </patternFill>
    </fill>
    <fill>
      <patternFill patternType="solid">
        <fgColor rgb="FFCCC0DA"/>
        <bgColor rgb="FFCCC0DA"/>
      </patternFill>
    </fill>
    <fill>
      <patternFill patternType="solid">
        <fgColor rgb="FFCFDFAE"/>
        <bgColor indexed="64"/>
      </patternFill>
    </fill>
    <fill>
      <patternFill patternType="solid">
        <fgColor rgb="FFCFDFAE"/>
        <bgColor rgb="FF000000"/>
      </patternFill>
    </fill>
  </fills>
  <borders count="16">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763">
    <xf numFmtId="0" fontId="0" fillId="0" borderId="0"/>
    <xf numFmtId="0" fontId="18" fillId="2" borderId="0" applyNumberFormat="0" applyBorder="0" applyAlignment="0" applyProtection="0"/>
    <xf numFmtId="0" fontId="18" fillId="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cellStyleXfs>
  <cellXfs count="620">
    <xf numFmtId="0" fontId="0" fillId="0" borderId="0" xfId="0"/>
    <xf numFmtId="0" fontId="3" fillId="0" borderId="0" xfId="0" applyFont="1"/>
    <xf numFmtId="0" fontId="4" fillId="0" borderId="0" xfId="0" applyFont="1"/>
    <xf numFmtId="0" fontId="3" fillId="0" borderId="0" xfId="0" applyFont="1" applyFill="1"/>
    <xf numFmtId="0" fontId="4" fillId="0" borderId="0" xfId="0" applyFont="1" applyFill="1"/>
    <xf numFmtId="0" fontId="3" fillId="0" borderId="0" xfId="0" applyFont="1" applyFill="1" applyBorder="1"/>
    <xf numFmtId="0" fontId="3" fillId="0" borderId="0" xfId="0" applyFont="1" applyBorder="1"/>
    <xf numFmtId="0" fontId="4" fillId="0" borderId="0" xfId="0" applyFont="1" applyBorder="1"/>
    <xf numFmtId="0" fontId="13" fillId="0" borderId="0" xfId="0" applyFont="1"/>
    <xf numFmtId="0" fontId="19" fillId="4" borderId="0" xfId="2" applyFont="1" applyFill="1" applyBorder="1"/>
    <xf numFmtId="2" fontId="19" fillId="4" borderId="0" xfId="2" applyNumberFormat="1" applyFont="1" applyFill="1" applyBorder="1"/>
    <xf numFmtId="0" fontId="20" fillId="4" borderId="0" xfId="2" applyFont="1" applyFill="1" applyBorder="1"/>
    <xf numFmtId="1" fontId="4" fillId="4" borderId="0" xfId="0" applyNumberFormat="1" applyFont="1" applyFill="1" applyBorder="1"/>
    <xf numFmtId="0" fontId="4" fillId="4" borderId="0" xfId="0" applyFont="1" applyFill="1" applyBorder="1"/>
    <xf numFmtId="2" fontId="3" fillId="0" borderId="0" xfId="0" applyNumberFormat="1" applyFont="1" applyFill="1"/>
    <xf numFmtId="0" fontId="13" fillId="0" borderId="0" xfId="0" applyFont="1" applyFill="1"/>
    <xf numFmtId="0" fontId="20" fillId="5" borderId="0" xfId="1" applyFont="1" applyFill="1" applyBorder="1"/>
    <xf numFmtId="0" fontId="19" fillId="5" borderId="0" xfId="1" applyFont="1" applyFill="1" applyBorder="1" applyAlignment="1">
      <alignment horizontal="center" vertical="top" wrapText="1"/>
    </xf>
    <xf numFmtId="0" fontId="19" fillId="5" borderId="0" xfId="1" applyFont="1" applyFill="1" applyBorder="1"/>
    <xf numFmtId="2" fontId="19" fillId="5" borderId="0" xfId="1" applyNumberFormat="1" applyFont="1" applyFill="1" applyBorder="1" applyAlignment="1">
      <alignment horizontal="center" vertical="top" wrapText="1"/>
    </xf>
    <xf numFmtId="0" fontId="3" fillId="5" borderId="0" xfId="0" applyFont="1" applyFill="1"/>
    <xf numFmtId="0" fontId="4" fillId="5" borderId="0" xfId="0" applyFont="1" applyFill="1"/>
    <xf numFmtId="167" fontId="19" fillId="5" borderId="0" xfId="1" applyNumberFormat="1" applyFont="1" applyFill="1" applyBorder="1" applyAlignment="1">
      <alignment horizontal="center" vertical="top" wrapText="1"/>
    </xf>
    <xf numFmtId="1" fontId="19" fillId="5" borderId="0" xfId="1" applyNumberFormat="1" applyFont="1" applyFill="1" applyBorder="1" applyAlignment="1">
      <alignment horizontal="center" vertical="top" wrapText="1"/>
    </xf>
    <xf numFmtId="0" fontId="19" fillId="0" borderId="0" xfId="1" applyFont="1" applyFill="1" applyBorder="1" applyAlignment="1">
      <alignment horizontal="center" vertical="top" wrapText="1"/>
    </xf>
    <xf numFmtId="0" fontId="19" fillId="0" borderId="0" xfId="1" applyFont="1" applyFill="1" applyBorder="1"/>
    <xf numFmtId="0" fontId="3" fillId="6" borderId="0" xfId="0" applyFont="1" applyFill="1"/>
    <xf numFmtId="0" fontId="19" fillId="6" borderId="0" xfId="1" applyFont="1" applyFill="1" applyBorder="1"/>
    <xf numFmtId="1" fontId="19" fillId="6" borderId="0" xfId="1" applyNumberFormat="1" applyFont="1" applyFill="1" applyBorder="1" applyProtection="1"/>
    <xf numFmtId="2" fontId="19" fillId="5" borderId="0" xfId="1" applyNumberFormat="1" applyFont="1" applyFill="1" applyBorder="1" applyAlignment="1">
      <alignment horizontal="left" vertical="top" wrapText="1"/>
    </xf>
    <xf numFmtId="2" fontId="3" fillId="5" borderId="0" xfId="0" applyNumberFormat="1" applyFont="1" applyFill="1"/>
    <xf numFmtId="0" fontId="8" fillId="5" borderId="0" xfId="0" applyFont="1" applyFill="1"/>
    <xf numFmtId="0" fontId="3" fillId="5" borderId="0" xfId="0" applyFont="1" applyFill="1" applyBorder="1"/>
    <xf numFmtId="166" fontId="3" fillId="5" borderId="0" xfId="0" applyNumberFormat="1" applyFont="1" applyFill="1"/>
    <xf numFmtId="0" fontId="4" fillId="5" borderId="0" xfId="0" applyFont="1" applyFill="1" applyAlignment="1">
      <alignment horizontal="left"/>
    </xf>
    <xf numFmtId="0" fontId="3" fillId="5" borderId="0" xfId="0" applyFont="1" applyFill="1" applyAlignment="1"/>
    <xf numFmtId="2" fontId="3" fillId="5" borderId="0" xfId="0" applyNumberFormat="1" applyFont="1" applyFill="1" applyBorder="1"/>
    <xf numFmtId="0" fontId="4" fillId="5" borderId="0" xfId="0" applyFont="1" applyFill="1" applyAlignment="1"/>
    <xf numFmtId="165" fontId="3" fillId="5" borderId="0" xfId="0" applyNumberFormat="1" applyFont="1" applyFill="1" applyBorder="1"/>
    <xf numFmtId="167" fontId="3" fillId="5" borderId="0" xfId="0" applyNumberFormat="1" applyFont="1" applyFill="1"/>
    <xf numFmtId="0" fontId="4" fillId="5" borderId="0" xfId="0" applyFont="1" applyFill="1" applyBorder="1"/>
    <xf numFmtId="0" fontId="9" fillId="0" borderId="0" xfId="0" applyFont="1" applyFill="1"/>
    <xf numFmtId="0" fontId="20" fillId="7" borderId="0" xfId="1" applyFont="1" applyFill="1" applyBorder="1"/>
    <xf numFmtId="0" fontId="20" fillId="7" borderId="0" xfId="1" applyFont="1" applyFill="1" applyBorder="1" applyAlignment="1">
      <alignment horizontal="center" vertical="top" wrapText="1"/>
    </xf>
    <xf numFmtId="0" fontId="3" fillId="7" borderId="0" xfId="0" applyFont="1" applyFill="1"/>
    <xf numFmtId="0" fontId="3" fillId="7" borderId="0" xfId="0" applyFont="1" applyFill="1" applyBorder="1"/>
    <xf numFmtId="2" fontId="3" fillId="7" borderId="0" xfId="0" applyNumberFormat="1" applyFont="1" applyFill="1"/>
    <xf numFmtId="0" fontId="21" fillId="0" borderId="0" xfId="0" applyFont="1" applyFill="1"/>
    <xf numFmtId="0" fontId="4" fillId="7" borderId="0" xfId="0" applyFont="1" applyFill="1"/>
    <xf numFmtId="168" fontId="3" fillId="7" borderId="0" xfId="0" applyNumberFormat="1" applyFont="1" applyFill="1" applyBorder="1"/>
    <xf numFmtId="0" fontId="4" fillId="7" borderId="0" xfId="0" applyFont="1" applyFill="1" applyBorder="1"/>
    <xf numFmtId="164" fontId="3" fillId="7" borderId="0" xfId="0" applyNumberFormat="1" applyFont="1" applyFill="1" applyBorder="1"/>
    <xf numFmtId="0" fontId="3" fillId="7" borderId="0" xfId="0" applyFont="1" applyFill="1" applyAlignment="1">
      <alignment horizontal="right"/>
    </xf>
    <xf numFmtId="0" fontId="3" fillId="8" borderId="0" xfId="0" applyFont="1" applyFill="1"/>
    <xf numFmtId="0" fontId="3" fillId="8" borderId="0" xfId="0" applyFont="1" applyFill="1" applyBorder="1"/>
    <xf numFmtId="166" fontId="3" fillId="7" borderId="0" xfId="0" applyNumberFormat="1" applyFont="1" applyFill="1" applyBorder="1"/>
    <xf numFmtId="0" fontId="3" fillId="4" borderId="0" xfId="0" applyFont="1" applyFill="1"/>
    <xf numFmtId="167" fontId="19" fillId="4" borderId="0" xfId="2" applyNumberFormat="1" applyFont="1" applyFill="1" applyBorder="1"/>
    <xf numFmtId="0" fontId="19" fillId="4" borderId="0" xfId="2" applyFont="1" applyFill="1" applyBorder="1" applyAlignment="1">
      <alignment horizontal="center" vertical="top" wrapText="1"/>
    </xf>
    <xf numFmtId="165" fontId="3" fillId="4" borderId="0" xfId="0" applyNumberFormat="1" applyFont="1" applyFill="1"/>
    <xf numFmtId="0" fontId="4" fillId="0" borderId="0" xfId="0" applyFont="1" applyFill="1" applyBorder="1"/>
    <xf numFmtId="44" fontId="3" fillId="0" borderId="0" xfId="4" applyFont="1" applyFill="1"/>
    <xf numFmtId="169" fontId="3" fillId="0" borderId="0" xfId="3" applyNumberFormat="1" applyFont="1" applyFill="1"/>
    <xf numFmtId="0" fontId="3" fillId="10" borderId="0" xfId="0" applyFont="1" applyFill="1"/>
    <xf numFmtId="0" fontId="19" fillId="4" borderId="0" xfId="2" applyFont="1" applyFill="1" applyBorder="1" applyAlignment="1">
      <alignment horizontal="right" vertical="top" wrapText="1"/>
    </xf>
    <xf numFmtId="0" fontId="19" fillId="4" borderId="0" xfId="2" applyFont="1" applyFill="1" applyBorder="1" applyAlignment="1">
      <alignment horizontal="right"/>
    </xf>
    <xf numFmtId="0" fontId="3" fillId="4" borderId="0" xfId="0" applyFont="1" applyFill="1" applyAlignment="1">
      <alignment horizontal="center"/>
    </xf>
    <xf numFmtId="0" fontId="19" fillId="4" borderId="0" xfId="2" applyFont="1" applyFill="1" applyBorder="1" applyAlignment="1">
      <alignment horizontal="center"/>
    </xf>
    <xf numFmtId="0" fontId="19" fillId="4" borderId="0" xfId="2" applyFont="1" applyFill="1" applyBorder="1" applyAlignment="1" applyProtection="1">
      <alignment horizontal="center"/>
    </xf>
    <xf numFmtId="0" fontId="20" fillId="4" borderId="0" xfId="2" applyFont="1" applyFill="1" applyBorder="1" applyAlignment="1">
      <alignment horizontal="left"/>
    </xf>
    <xf numFmtId="0" fontId="20" fillId="4" borderId="0" xfId="2" applyFont="1" applyFill="1" applyBorder="1" applyAlignment="1" applyProtection="1">
      <alignment horizontal="left"/>
    </xf>
    <xf numFmtId="0" fontId="3" fillId="4" borderId="0" xfId="0" applyFont="1" applyFill="1" applyAlignment="1">
      <alignment horizontal="left"/>
    </xf>
    <xf numFmtId="0" fontId="19" fillId="4" borderId="0" xfId="2" applyFont="1" applyFill="1" applyBorder="1" applyAlignment="1">
      <alignment horizontal="left"/>
    </xf>
    <xf numFmtId="0" fontId="3" fillId="11" borderId="0" xfId="0" applyFont="1" applyFill="1"/>
    <xf numFmtId="0" fontId="20" fillId="6" borderId="0" xfId="1" applyFont="1" applyFill="1" applyBorder="1"/>
    <xf numFmtId="0" fontId="3" fillId="6" borderId="0" xfId="0" applyFont="1" applyFill="1" applyAlignment="1">
      <alignment horizontal="right"/>
    </xf>
    <xf numFmtId="0" fontId="3" fillId="0" borderId="0" xfId="0" applyFont="1" applyFill="1" applyBorder="1" applyAlignment="1">
      <alignment horizontal="left"/>
    </xf>
    <xf numFmtId="165" fontId="19" fillId="0" borderId="0" xfId="1" applyNumberFormat="1" applyFont="1" applyFill="1" applyBorder="1"/>
    <xf numFmtId="166" fontId="19" fillId="6" borderId="0" xfId="1" applyNumberFormat="1" applyFont="1" applyFill="1" applyBorder="1"/>
    <xf numFmtId="165" fontId="19" fillId="6" borderId="0" xfId="1" applyNumberFormat="1" applyFont="1" applyFill="1" applyBorder="1"/>
    <xf numFmtId="0" fontId="3" fillId="5" borderId="0" xfId="0" applyFont="1" applyFill="1" applyAlignment="1">
      <alignment horizontal="right"/>
    </xf>
    <xf numFmtId="0" fontId="4" fillId="5" borderId="0" xfId="1" applyFont="1" applyFill="1" applyBorder="1"/>
    <xf numFmtId="0" fontId="4" fillId="10" borderId="0" xfId="0" applyFont="1" applyFill="1" applyBorder="1"/>
    <xf numFmtId="0" fontId="3" fillId="0" borderId="0" xfId="0" applyFont="1" applyAlignment="1">
      <alignment horizontal="center"/>
    </xf>
    <xf numFmtId="0" fontId="3" fillId="0" borderId="0" xfId="0" applyFont="1" applyBorder="1" applyAlignment="1">
      <alignment horizontal="center"/>
    </xf>
    <xf numFmtId="0" fontId="19" fillId="0" borderId="0" xfId="1" applyFont="1" applyFill="1" applyBorder="1" applyAlignment="1">
      <alignment horizontal="center"/>
    </xf>
    <xf numFmtId="0" fontId="3" fillId="0" borderId="0" xfId="0" applyFont="1" applyFill="1" applyBorder="1" applyAlignment="1">
      <alignment horizontal="center"/>
    </xf>
    <xf numFmtId="0" fontId="4" fillId="0" borderId="0" xfId="0" applyFont="1" applyFill="1" applyAlignment="1">
      <alignment horizontal="center"/>
    </xf>
    <xf numFmtId="0" fontId="20" fillId="0" borderId="0" xfId="1" applyFont="1" applyFill="1" applyBorder="1" applyAlignment="1">
      <alignment horizontal="center" vertical="top" wrapText="1"/>
    </xf>
    <xf numFmtId="0" fontId="20" fillId="0" borderId="0" xfId="1" applyFont="1" applyFill="1" applyBorder="1" applyAlignment="1">
      <alignment horizontal="center"/>
    </xf>
    <xf numFmtId="0" fontId="4" fillId="9" borderId="0" xfId="0" applyFont="1" applyFill="1" applyAlignment="1">
      <alignment horizontal="center"/>
    </xf>
    <xf numFmtId="0" fontId="3" fillId="9" borderId="0" xfId="0" applyFont="1" applyFill="1" applyAlignment="1">
      <alignment horizontal="center"/>
    </xf>
    <xf numFmtId="0" fontId="3" fillId="9" borderId="0" xfId="0" applyFont="1" applyFill="1" applyBorder="1" applyAlignment="1">
      <alignment horizontal="center"/>
    </xf>
    <xf numFmtId="0" fontId="20" fillId="4" borderId="1" xfId="2" applyFont="1" applyFill="1" applyBorder="1"/>
    <xf numFmtId="0" fontId="20" fillId="4" borderId="1" xfId="2" applyFont="1" applyFill="1" applyBorder="1" applyAlignment="1">
      <alignment horizontal="center" vertical="top" wrapText="1"/>
    </xf>
    <xf numFmtId="0" fontId="4" fillId="10" borderId="1" xfId="0" applyFont="1" applyFill="1" applyBorder="1"/>
    <xf numFmtId="0" fontId="3" fillId="10" borderId="1" xfId="0" applyFont="1" applyFill="1" applyBorder="1"/>
    <xf numFmtId="0" fontId="4" fillId="9" borderId="1" xfId="0" applyFont="1" applyFill="1" applyBorder="1" applyAlignment="1">
      <alignment horizontal="center"/>
    </xf>
    <xf numFmtId="0" fontId="20" fillId="6" borderId="2" xfId="1" applyFont="1" applyFill="1" applyBorder="1"/>
    <xf numFmtId="0" fontId="3" fillId="6" borderId="2" xfId="0" applyFont="1" applyFill="1" applyBorder="1"/>
    <xf numFmtId="0" fontId="3" fillId="9" borderId="2" xfId="0" applyFont="1" applyFill="1" applyBorder="1" applyAlignment="1">
      <alignment horizontal="center"/>
    </xf>
    <xf numFmtId="0" fontId="3" fillId="4" borderId="0" xfId="0" applyFont="1" applyFill="1" applyBorder="1" applyAlignment="1">
      <alignment horizontal="left"/>
    </xf>
    <xf numFmtId="0" fontId="3" fillId="4" borderId="0" xfId="0" applyFont="1" applyFill="1" applyBorder="1" applyAlignment="1">
      <alignment horizontal="center"/>
    </xf>
    <xf numFmtId="0" fontId="3" fillId="4" borderId="2" xfId="0" applyFont="1" applyFill="1" applyBorder="1" applyAlignment="1">
      <alignment horizontal="left"/>
    </xf>
    <xf numFmtId="0" fontId="3" fillId="4" borderId="2" xfId="0" applyFont="1" applyFill="1" applyBorder="1" applyAlignment="1">
      <alignment horizontal="center"/>
    </xf>
    <xf numFmtId="0" fontId="19" fillId="4" borderId="2" xfId="2" applyFont="1" applyFill="1" applyBorder="1" applyAlignment="1" applyProtection="1">
      <alignment horizontal="center"/>
    </xf>
    <xf numFmtId="0" fontId="4" fillId="4" borderId="2" xfId="0" applyFont="1" applyFill="1" applyBorder="1"/>
    <xf numFmtId="165" fontId="3" fillId="4" borderId="2" xfId="0" applyNumberFormat="1" applyFont="1" applyFill="1" applyBorder="1"/>
    <xf numFmtId="166" fontId="3" fillId="6" borderId="2" xfId="0" applyNumberFormat="1" applyFont="1" applyFill="1" applyBorder="1"/>
    <xf numFmtId="0" fontId="4" fillId="5" borderId="2" xfId="0" applyFont="1" applyFill="1" applyBorder="1"/>
    <xf numFmtId="0" fontId="4" fillId="5" borderId="1" xfId="0" applyFont="1" applyFill="1" applyBorder="1"/>
    <xf numFmtId="0" fontId="20" fillId="5" borderId="1" xfId="1" applyFont="1" applyFill="1" applyBorder="1" applyAlignment="1">
      <alignment horizontal="center" vertical="top" wrapText="1"/>
    </xf>
    <xf numFmtId="0" fontId="20" fillId="5" borderId="1" xfId="1" applyFont="1" applyFill="1" applyBorder="1"/>
    <xf numFmtId="0" fontId="4" fillId="11" borderId="1" xfId="0" applyFont="1" applyFill="1" applyBorder="1" applyAlignment="1">
      <alignment horizontal="center"/>
    </xf>
    <xf numFmtId="0" fontId="4" fillId="11" borderId="0" xfId="0" applyFont="1" applyFill="1" applyAlignment="1">
      <alignment horizontal="center"/>
    </xf>
    <xf numFmtId="167" fontId="3" fillId="5" borderId="0" xfId="0" applyNumberFormat="1" applyFont="1" applyFill="1" applyBorder="1"/>
    <xf numFmtId="0" fontId="4" fillId="5" borderId="0" xfId="0" applyFont="1" applyFill="1" applyAlignment="1">
      <alignment horizontal="right"/>
    </xf>
    <xf numFmtId="168" fontId="3" fillId="5" borderId="0" xfId="0" applyNumberFormat="1" applyFont="1" applyFill="1"/>
    <xf numFmtId="0" fontId="3" fillId="10" borderId="0" xfId="0" applyFont="1" applyFill="1" applyBorder="1"/>
    <xf numFmtId="0" fontId="4" fillId="7" borderId="2" xfId="0" applyFont="1" applyFill="1" applyBorder="1"/>
    <xf numFmtId="0" fontId="20" fillId="7" borderId="1" xfId="1" applyFont="1" applyFill="1" applyBorder="1"/>
    <xf numFmtId="0" fontId="4" fillId="7" borderId="1" xfId="0" applyFont="1" applyFill="1" applyBorder="1" applyAlignment="1">
      <alignment horizontal="right"/>
    </xf>
    <xf numFmtId="0" fontId="20" fillId="7" borderId="1" xfId="1" applyFont="1" applyFill="1" applyBorder="1" applyAlignment="1">
      <alignment horizontal="center" wrapText="1"/>
    </xf>
    <xf numFmtId="0" fontId="4" fillId="7" borderId="1" xfId="0" applyFont="1" applyFill="1" applyBorder="1" applyAlignment="1"/>
    <xf numFmtId="0" fontId="3" fillId="7" borderId="0" xfId="0" applyFont="1" applyFill="1" applyBorder="1" applyAlignment="1">
      <alignment horizontal="right"/>
    </xf>
    <xf numFmtId="2" fontId="3" fillId="7" borderId="0" xfId="0" applyNumberFormat="1" applyFont="1" applyFill="1" applyBorder="1"/>
    <xf numFmtId="0" fontId="3" fillId="7" borderId="0" xfId="0" applyFont="1" applyFill="1" applyAlignment="1">
      <alignment horizontal="left"/>
    </xf>
    <xf numFmtId="167" fontId="3" fillId="6" borderId="0" xfId="0" applyNumberFormat="1" applyFont="1" applyFill="1" applyBorder="1"/>
    <xf numFmtId="0" fontId="3" fillId="8" borderId="2" xfId="0" applyFont="1" applyFill="1" applyBorder="1"/>
    <xf numFmtId="0" fontId="4" fillId="8" borderId="1" xfId="0" applyFont="1" applyFill="1" applyBorder="1"/>
    <xf numFmtId="0" fontId="3" fillId="8" borderId="1" xfId="0" applyFont="1" applyFill="1" applyBorder="1"/>
    <xf numFmtId="2" fontId="4" fillId="11" borderId="0" xfId="0" applyNumberFormat="1" applyFont="1" applyFill="1" applyAlignment="1">
      <alignment horizontal="center"/>
    </xf>
    <xf numFmtId="0" fontId="3" fillId="10" borderId="0" xfId="0" applyFont="1" applyFill="1" applyBorder="1" applyAlignment="1">
      <alignment horizontal="left"/>
    </xf>
    <xf numFmtId="0" fontId="3" fillId="5" borderId="0" xfId="0" applyFont="1" applyFill="1" applyBorder="1" applyAlignment="1">
      <alignment horizontal="right"/>
    </xf>
    <xf numFmtId="0" fontId="22" fillId="5" borderId="0" xfId="0" applyFont="1" applyFill="1" applyBorder="1"/>
    <xf numFmtId="0" fontId="3" fillId="5" borderId="2" xfId="0" applyFont="1" applyFill="1" applyBorder="1"/>
    <xf numFmtId="0" fontId="4" fillId="11" borderId="2" xfId="0" applyFont="1" applyFill="1" applyBorder="1" applyAlignment="1">
      <alignment horizontal="center"/>
    </xf>
    <xf numFmtId="0" fontId="3" fillId="7" borderId="2" xfId="0" applyFont="1" applyFill="1" applyBorder="1"/>
    <xf numFmtId="167" fontId="19" fillId="6" borderId="0" xfId="1" applyNumberFormat="1" applyFont="1" applyFill="1" applyBorder="1"/>
    <xf numFmtId="0" fontId="3" fillId="7" borderId="4" xfId="0" applyFont="1" applyFill="1" applyBorder="1" applyAlignment="1">
      <alignment horizontal="right"/>
    </xf>
    <xf numFmtId="164" fontId="3" fillId="7" borderId="3" xfId="0" applyNumberFormat="1" applyFont="1" applyFill="1" applyBorder="1"/>
    <xf numFmtId="0" fontId="3" fillId="7" borderId="5" xfId="0" applyFont="1" applyFill="1" applyBorder="1"/>
    <xf numFmtId="0" fontId="3" fillId="7" borderId="6" xfId="0" applyFont="1" applyFill="1" applyBorder="1" applyAlignment="1">
      <alignment horizontal="right"/>
    </xf>
    <xf numFmtId="0" fontId="3" fillId="7" borderId="7" xfId="0" applyFont="1" applyFill="1" applyBorder="1"/>
    <xf numFmtId="0" fontId="3" fillId="7" borderId="8" xfId="0" applyFont="1" applyFill="1" applyBorder="1" applyAlignment="1">
      <alignment horizontal="right"/>
    </xf>
    <xf numFmtId="164" fontId="3" fillId="7" borderId="2" xfId="0" applyNumberFormat="1" applyFont="1" applyFill="1" applyBorder="1"/>
    <xf numFmtId="0" fontId="3" fillId="7" borderId="9" xfId="0" applyFont="1" applyFill="1" applyBorder="1"/>
    <xf numFmtId="164" fontId="3" fillId="7" borderId="5" xfId="0" applyNumberFormat="1" applyFont="1" applyFill="1" applyBorder="1"/>
    <xf numFmtId="164" fontId="3" fillId="7" borderId="7" xfId="0" applyNumberFormat="1" applyFont="1" applyFill="1" applyBorder="1"/>
    <xf numFmtId="164" fontId="3" fillId="7" borderId="9" xfId="0" applyNumberFormat="1" applyFont="1" applyFill="1" applyBorder="1"/>
    <xf numFmtId="0" fontId="6" fillId="0" borderId="0" xfId="0" applyFont="1" applyFill="1" applyProtection="1"/>
    <xf numFmtId="0" fontId="6" fillId="0" borderId="0" xfId="0" applyFont="1" applyProtection="1"/>
    <xf numFmtId="0" fontId="2" fillId="0" borderId="0" xfId="0" applyFont="1" applyProtection="1"/>
    <xf numFmtId="0" fontId="15" fillId="0" borderId="0" xfId="0" applyFont="1" applyProtection="1"/>
    <xf numFmtId="0" fontId="0" fillId="0" borderId="0" xfId="0" applyProtection="1"/>
    <xf numFmtId="0" fontId="2" fillId="0" borderId="0" xfId="0" applyFont="1" applyFill="1" applyProtection="1"/>
    <xf numFmtId="43" fontId="6" fillId="0" borderId="0" xfId="0" applyNumberFormat="1" applyFont="1" applyFill="1" applyBorder="1" applyProtection="1"/>
    <xf numFmtId="0" fontId="6" fillId="0" borderId="0" xfId="0" applyFont="1" applyFill="1" applyBorder="1" applyProtection="1"/>
    <xf numFmtId="0" fontId="7" fillId="0" borderId="0" xfId="0" applyFont="1" applyProtection="1"/>
    <xf numFmtId="1" fontId="23" fillId="3" borderId="0" xfId="2" applyNumberFormat="1" applyFont="1" applyBorder="1" applyProtection="1"/>
    <xf numFmtId="0" fontId="23" fillId="3" borderId="0" xfId="2" applyFont="1" applyBorder="1" applyProtection="1"/>
    <xf numFmtId="1" fontId="23" fillId="3" borderId="2" xfId="2" applyNumberFormat="1" applyFont="1" applyBorder="1" applyProtection="1"/>
    <xf numFmtId="0" fontId="23" fillId="3" borderId="3" xfId="2" applyFont="1" applyBorder="1" applyProtection="1"/>
    <xf numFmtId="0" fontId="23" fillId="3" borderId="1" xfId="2" applyFont="1" applyBorder="1" applyProtection="1"/>
    <xf numFmtId="0" fontId="2" fillId="10" borderId="11" xfId="0" applyFont="1" applyFill="1" applyBorder="1" applyProtection="1"/>
    <xf numFmtId="0" fontId="23" fillId="10" borderId="0" xfId="2" applyFont="1" applyFill="1" applyBorder="1" applyProtection="1"/>
    <xf numFmtId="0" fontId="2" fillId="10" borderId="7" xfId="0" applyFont="1" applyFill="1" applyBorder="1" applyProtection="1"/>
    <xf numFmtId="1" fontId="23" fillId="10" borderId="0" xfId="2" applyNumberFormat="1" applyFont="1" applyFill="1" applyBorder="1" applyProtection="1"/>
    <xf numFmtId="0" fontId="6" fillId="10" borderId="0" xfId="0" applyFont="1" applyFill="1" applyBorder="1" applyProtection="1"/>
    <xf numFmtId="0" fontId="24" fillId="10" borderId="0" xfId="2" applyFont="1" applyFill="1" applyBorder="1" applyProtection="1"/>
    <xf numFmtId="0" fontId="2" fillId="10" borderId="3" xfId="0" applyFont="1" applyFill="1" applyBorder="1" applyProtection="1"/>
    <xf numFmtId="0" fontId="2" fillId="10" borderId="5" xfId="0" applyFont="1" applyFill="1" applyBorder="1" applyProtection="1"/>
    <xf numFmtId="0" fontId="2" fillId="10" borderId="2" xfId="0" applyFont="1" applyFill="1" applyBorder="1" applyProtection="1"/>
    <xf numFmtId="0" fontId="2" fillId="10" borderId="9" xfId="0" applyFont="1" applyFill="1" applyBorder="1" applyProtection="1"/>
    <xf numFmtId="0" fontId="23" fillId="10" borderId="3" xfId="2" applyFont="1" applyFill="1" applyBorder="1" applyProtection="1"/>
    <xf numFmtId="0" fontId="23" fillId="10" borderId="2" xfId="2" applyFont="1" applyFill="1" applyBorder="1" applyProtection="1"/>
    <xf numFmtId="0" fontId="6" fillId="10" borderId="2" xfId="0" applyFont="1" applyFill="1" applyBorder="1" applyProtection="1"/>
    <xf numFmtId="0" fontId="24" fillId="10" borderId="2" xfId="2" applyFont="1" applyFill="1" applyBorder="1" applyProtection="1"/>
    <xf numFmtId="0" fontId="3" fillId="10" borderId="4" xfId="0" applyFont="1" applyFill="1" applyBorder="1"/>
    <xf numFmtId="0" fontId="3" fillId="10" borderId="3" xfId="0" applyFont="1" applyFill="1" applyBorder="1"/>
    <xf numFmtId="0" fontId="3" fillId="10" borderId="5" xfId="0" applyFont="1" applyFill="1" applyBorder="1"/>
    <xf numFmtId="0" fontId="4" fillId="10" borderId="6" xfId="0" applyFont="1" applyFill="1" applyBorder="1"/>
    <xf numFmtId="0" fontId="3" fillId="10" borderId="7" xfId="0" applyFont="1" applyFill="1" applyBorder="1"/>
    <xf numFmtId="0" fontId="3" fillId="10" borderId="6" xfId="0" applyFont="1" applyFill="1" applyBorder="1"/>
    <xf numFmtId="0" fontId="3" fillId="10" borderId="8" xfId="0" applyFont="1" applyFill="1" applyBorder="1"/>
    <xf numFmtId="0" fontId="3" fillId="10" borderId="2" xfId="0" applyFont="1" applyFill="1" applyBorder="1"/>
    <xf numFmtId="0" fontId="4" fillId="10" borderId="4" xfId="0" applyFont="1" applyFill="1" applyBorder="1"/>
    <xf numFmtId="0" fontId="3" fillId="10" borderId="3" xfId="0" applyFont="1" applyFill="1" applyBorder="1" applyAlignment="1">
      <alignment horizontal="left"/>
    </xf>
    <xf numFmtId="0" fontId="5" fillId="10" borderId="4" xfId="0" applyFont="1" applyFill="1" applyBorder="1"/>
    <xf numFmtId="0" fontId="5" fillId="10" borderId="8" xfId="0" applyFont="1" applyFill="1" applyBorder="1"/>
    <xf numFmtId="0" fontId="25" fillId="10" borderId="4" xfId="2" applyFont="1" applyFill="1" applyBorder="1"/>
    <xf numFmtId="0" fontId="6" fillId="10" borderId="3" xfId="0" applyFont="1" applyFill="1" applyBorder="1"/>
    <xf numFmtId="0" fontId="23" fillId="10" borderId="5" xfId="2" applyFont="1" applyFill="1" applyBorder="1"/>
    <xf numFmtId="0" fontId="25" fillId="10" borderId="8" xfId="2" applyFont="1" applyFill="1" applyBorder="1"/>
    <xf numFmtId="0" fontId="6" fillId="10" borderId="2" xfId="0" applyFont="1" applyFill="1" applyBorder="1"/>
    <xf numFmtId="0" fontId="23" fillId="10" borderId="9" xfId="2" applyFont="1" applyFill="1" applyBorder="1"/>
    <xf numFmtId="0" fontId="3" fillId="10" borderId="2" xfId="0" applyFont="1" applyFill="1" applyBorder="1" applyProtection="1"/>
    <xf numFmtId="0" fontId="3" fillId="10" borderId="9" xfId="0" applyFont="1" applyFill="1" applyBorder="1" applyProtection="1"/>
    <xf numFmtId="1" fontId="3" fillId="10" borderId="2" xfId="0" applyNumberFormat="1" applyFont="1" applyFill="1" applyBorder="1" applyProtection="1"/>
    <xf numFmtId="167" fontId="3" fillId="10" borderId="2" xfId="0" applyNumberFormat="1" applyFont="1" applyFill="1" applyBorder="1" applyProtection="1"/>
    <xf numFmtId="0" fontId="3" fillId="10" borderId="2" xfId="0" applyFont="1" applyFill="1" applyBorder="1" applyAlignment="1" applyProtection="1">
      <alignment horizontal="left"/>
    </xf>
    <xf numFmtId="0" fontId="4" fillId="10" borderId="10" xfId="0" applyFont="1" applyFill="1" applyBorder="1"/>
    <xf numFmtId="0" fontId="4" fillId="10" borderId="11" xfId="0" applyFont="1" applyFill="1" applyBorder="1"/>
    <xf numFmtId="0" fontId="26" fillId="0" borderId="0" xfId="0" applyFont="1" applyProtection="1"/>
    <xf numFmtId="0" fontId="2" fillId="3" borderId="1" xfId="2" applyFont="1" applyBorder="1" applyProtection="1">
      <protection hidden="1"/>
    </xf>
    <xf numFmtId="0" fontId="23" fillId="3" borderId="12" xfId="2" applyFont="1" applyBorder="1" applyProtection="1"/>
    <xf numFmtId="0" fontId="23" fillId="3" borderId="13" xfId="2" applyFont="1" applyBorder="1" applyProtection="1"/>
    <xf numFmtId="0" fontId="2" fillId="10" borderId="14" xfId="0" applyFont="1" applyFill="1" applyBorder="1" applyProtection="1"/>
    <xf numFmtId="0" fontId="2" fillId="10" borderId="15" xfId="0" applyFont="1" applyFill="1" applyBorder="1" applyProtection="1"/>
    <xf numFmtId="0" fontId="23" fillId="10" borderId="12" xfId="2" applyFont="1" applyFill="1" applyBorder="1" applyProtection="1"/>
    <xf numFmtId="0" fontId="23" fillId="10" borderId="14" xfId="2" applyFont="1" applyFill="1" applyBorder="1" applyProtection="1"/>
    <xf numFmtId="0" fontId="23" fillId="10" borderId="13" xfId="2" applyFont="1" applyFill="1" applyBorder="1" applyProtection="1"/>
    <xf numFmtId="0" fontId="23" fillId="3" borderId="15" xfId="2" applyFont="1" applyBorder="1" applyProtection="1"/>
    <xf numFmtId="0" fontId="23" fillId="3" borderId="14" xfId="2" applyFont="1" applyBorder="1" applyProtection="1"/>
    <xf numFmtId="0" fontId="3" fillId="0" borderId="0" xfId="0" applyFont="1" applyFill="1" applyBorder="1" applyProtection="1">
      <protection locked="0"/>
    </xf>
    <xf numFmtId="0" fontId="3" fillId="0" borderId="3" xfId="0" applyFont="1" applyFill="1" applyBorder="1" applyProtection="1">
      <protection locked="0"/>
    </xf>
    <xf numFmtId="0" fontId="2" fillId="0" borderId="3" xfId="0" applyFont="1" applyFill="1" applyBorder="1" applyProtection="1">
      <protection locked="0"/>
    </xf>
    <xf numFmtId="0" fontId="2" fillId="0" borderId="5" xfId="0" applyFont="1" applyFill="1" applyBorder="1" applyProtection="1">
      <protection locked="0"/>
    </xf>
    <xf numFmtId="0" fontId="2" fillId="0" borderId="2" xfId="0" applyFont="1" applyFill="1" applyBorder="1" applyProtection="1">
      <protection locked="0"/>
    </xf>
    <xf numFmtId="0" fontId="2" fillId="0" borderId="9" xfId="0" applyFont="1" applyFill="1" applyBorder="1" applyProtection="1">
      <protection locked="0"/>
    </xf>
    <xf numFmtId="0" fontId="23" fillId="0" borderId="3" xfId="2" applyFont="1" applyFill="1" applyBorder="1" applyProtection="1">
      <protection locked="0"/>
    </xf>
    <xf numFmtId="0" fontId="23" fillId="0" borderId="2" xfId="2" applyFont="1" applyFill="1" applyBorder="1" applyProtection="1">
      <protection locked="0"/>
    </xf>
    <xf numFmtId="1" fontId="3" fillId="5" borderId="0" xfId="0" applyNumberFormat="1" applyFont="1" applyFill="1" applyBorder="1"/>
    <xf numFmtId="0" fontId="3" fillId="0" borderId="0" xfId="0" applyFont="1" applyFill="1" applyBorder="1" applyAlignment="1" applyProtection="1">
      <alignment horizontal="left"/>
    </xf>
    <xf numFmtId="0" fontId="3" fillId="0" borderId="0" xfId="0" applyFont="1" applyFill="1" applyBorder="1" applyProtection="1"/>
    <xf numFmtId="0" fontId="3" fillId="10" borderId="9" xfId="0" applyFont="1" applyFill="1" applyBorder="1"/>
    <xf numFmtId="0" fontId="25" fillId="10" borderId="1" xfId="2" applyFont="1" applyFill="1" applyBorder="1" applyProtection="1"/>
    <xf numFmtId="0" fontId="2" fillId="3" borderId="11" xfId="2" applyFont="1" applyBorder="1" applyProtection="1">
      <protection hidden="1"/>
    </xf>
    <xf numFmtId="0" fontId="3" fillId="8" borderId="3" xfId="0" applyFont="1" applyFill="1" applyBorder="1"/>
    <xf numFmtId="0" fontId="4" fillId="8" borderId="2" xfId="0" applyFont="1" applyFill="1" applyBorder="1"/>
    <xf numFmtId="0" fontId="3" fillId="7" borderId="6" xfId="0" applyFont="1" applyFill="1" applyBorder="1"/>
    <xf numFmtId="0" fontId="3" fillId="7" borderId="8" xfId="0" applyFont="1" applyFill="1" applyBorder="1"/>
    <xf numFmtId="0" fontId="4" fillId="7" borderId="10" xfId="0" applyFont="1" applyFill="1" applyBorder="1"/>
    <xf numFmtId="167" fontId="3" fillId="5" borderId="0" xfId="1" applyNumberFormat="1" applyFont="1" applyFill="1" applyBorder="1" applyAlignment="1">
      <alignment horizontal="right" vertical="top" wrapText="1"/>
    </xf>
    <xf numFmtId="0" fontId="23" fillId="0" borderId="0" xfId="2" applyFont="1" applyFill="1" applyBorder="1" applyProtection="1"/>
    <xf numFmtId="0" fontId="6" fillId="0" borderId="0" xfId="0" applyFont="1" applyBorder="1" applyProtection="1"/>
    <xf numFmtId="0" fontId="25" fillId="10" borderId="1" xfId="2" applyFont="1" applyFill="1" applyBorder="1" applyAlignment="1" applyProtection="1">
      <alignment horizontal="right"/>
    </xf>
    <xf numFmtId="0" fontId="23" fillId="10" borderId="3" xfId="2" applyFont="1" applyFill="1" applyBorder="1" applyAlignment="1" applyProtection="1">
      <alignment horizontal="right"/>
    </xf>
    <xf numFmtId="0" fontId="23" fillId="10" borderId="0" xfId="2" applyFont="1" applyFill="1" applyBorder="1" applyAlignment="1" applyProtection="1">
      <alignment horizontal="right"/>
    </xf>
    <xf numFmtId="0" fontId="23" fillId="3" borderId="2" xfId="2" applyFont="1" applyBorder="1" applyAlignment="1" applyProtection="1">
      <alignment horizontal="right"/>
    </xf>
    <xf numFmtId="0" fontId="23" fillId="3" borderId="3" xfId="2" applyFont="1" applyBorder="1" applyAlignment="1" applyProtection="1">
      <alignment horizontal="right"/>
    </xf>
    <xf numFmtId="0" fontId="23" fillId="10" borderId="2" xfId="2" applyFont="1" applyFill="1" applyBorder="1" applyAlignment="1" applyProtection="1">
      <alignment horizontal="right"/>
    </xf>
    <xf numFmtId="0" fontId="4" fillId="10" borderId="3" xfId="0" applyFont="1" applyFill="1" applyBorder="1"/>
    <xf numFmtId="0" fontId="4" fillId="10" borderId="0" xfId="0" applyFont="1" applyFill="1" applyBorder="1" applyAlignment="1"/>
    <xf numFmtId="0" fontId="4" fillId="10" borderId="0" xfId="0" applyFont="1" applyFill="1" applyBorder="1" applyAlignment="1" applyProtection="1">
      <protection locked="0"/>
    </xf>
    <xf numFmtId="0" fontId="4" fillId="13" borderId="1" xfId="0" applyFont="1" applyFill="1" applyBorder="1" applyAlignment="1">
      <alignment horizontal="center"/>
    </xf>
    <xf numFmtId="0" fontId="3" fillId="13" borderId="0" xfId="0" applyFont="1" applyFill="1" applyAlignment="1">
      <alignment horizontal="center"/>
    </xf>
    <xf numFmtId="0" fontId="4" fillId="13" borderId="0" xfId="0" applyFont="1" applyFill="1" applyAlignment="1">
      <alignment horizontal="center"/>
    </xf>
    <xf numFmtId="0" fontId="3" fillId="13" borderId="2" xfId="0" applyFont="1" applyFill="1" applyBorder="1" applyAlignment="1">
      <alignment horizontal="center"/>
    </xf>
    <xf numFmtId="0" fontId="4" fillId="13" borderId="3" xfId="0" applyFont="1" applyFill="1" applyBorder="1" applyAlignment="1">
      <alignment horizontal="center"/>
    </xf>
    <xf numFmtId="0" fontId="4" fillId="13" borderId="2" xfId="0" applyFont="1" applyFill="1" applyBorder="1" applyAlignment="1">
      <alignment horizontal="center"/>
    </xf>
    <xf numFmtId="2" fontId="3" fillId="4" borderId="0" xfId="0" applyNumberFormat="1" applyFont="1" applyFill="1"/>
    <xf numFmtId="0" fontId="4" fillId="9" borderId="0" xfId="0" applyFont="1" applyFill="1" applyBorder="1" applyAlignment="1">
      <alignment horizontal="center"/>
    </xf>
    <xf numFmtId="0" fontId="4" fillId="9" borderId="0" xfId="0" applyFont="1" applyFill="1" applyBorder="1" applyAlignment="1">
      <alignment horizontal="center" vertical="top" wrapText="1"/>
    </xf>
    <xf numFmtId="0" fontId="4" fillId="9" borderId="2" xfId="0" applyFont="1" applyFill="1" applyBorder="1" applyAlignment="1">
      <alignment horizontal="center"/>
    </xf>
    <xf numFmtId="0" fontId="3" fillId="0" borderId="4" xfId="0" applyFont="1" applyBorder="1"/>
    <xf numFmtId="0" fontId="3" fillId="0" borderId="6" xfId="0" applyFont="1" applyFill="1" applyBorder="1"/>
    <xf numFmtId="0" fontId="3" fillId="0" borderId="8" xfId="0" applyFont="1" applyBorder="1"/>
    <xf numFmtId="0" fontId="4" fillId="0" borderId="8" xfId="0" applyFont="1" applyFill="1" applyBorder="1"/>
    <xf numFmtId="0" fontId="3" fillId="0" borderId="3" xfId="0" applyFont="1" applyFill="1" applyBorder="1"/>
    <xf numFmtId="1" fontId="3" fillId="10" borderId="4" xfId="0" applyNumberFormat="1" applyFont="1" applyFill="1" applyBorder="1"/>
    <xf numFmtId="0" fontId="13" fillId="10" borderId="3" xfId="0" applyFont="1" applyFill="1" applyBorder="1"/>
    <xf numFmtId="0" fontId="13" fillId="10" borderId="6" xfId="0" applyFont="1" applyFill="1" applyBorder="1"/>
    <xf numFmtId="0" fontId="13" fillId="10" borderId="0" xfId="0" applyFont="1" applyFill="1" applyBorder="1"/>
    <xf numFmtId="0" fontId="3" fillId="0" borderId="12" xfId="0" applyFont="1" applyFill="1" applyBorder="1" applyProtection="1">
      <protection locked="0"/>
    </xf>
    <xf numFmtId="0" fontId="4" fillId="0" borderId="4" xfId="0" applyFont="1" applyFill="1" applyBorder="1"/>
    <xf numFmtId="0" fontId="3" fillId="0" borderId="2" xfId="0" applyFont="1" applyFill="1" applyBorder="1"/>
    <xf numFmtId="0" fontId="4" fillId="11" borderId="3" xfId="0" applyFont="1" applyFill="1" applyBorder="1" applyAlignment="1">
      <alignment horizontal="center"/>
    </xf>
    <xf numFmtId="1" fontId="20" fillId="5" borderId="0" xfId="1" applyNumberFormat="1" applyFont="1" applyFill="1" applyBorder="1" applyAlignment="1">
      <alignment horizontal="left" vertical="top" wrapText="1"/>
    </xf>
    <xf numFmtId="1" fontId="20" fillId="5" borderId="0" xfId="1" applyNumberFormat="1" applyFont="1" applyFill="1" applyBorder="1" applyAlignment="1">
      <alignment horizontal="left" vertical="top"/>
    </xf>
    <xf numFmtId="0" fontId="4" fillId="11" borderId="0" xfId="0" applyFont="1" applyFill="1" applyBorder="1" applyAlignment="1">
      <alignment horizontal="center"/>
    </xf>
    <xf numFmtId="0" fontId="4" fillId="11" borderId="0" xfId="0" applyFont="1" applyFill="1"/>
    <xf numFmtId="0" fontId="3" fillId="5" borderId="3" xfId="0" applyFont="1" applyFill="1" applyBorder="1"/>
    <xf numFmtId="0" fontId="3" fillId="5" borderId="8" xfId="0" applyFont="1" applyFill="1" applyBorder="1"/>
    <xf numFmtId="0" fontId="3" fillId="5" borderId="9" xfId="0" applyFont="1" applyFill="1" applyBorder="1"/>
    <xf numFmtId="166" fontId="19" fillId="5" borderId="0" xfId="1" applyNumberFormat="1" applyFont="1" applyFill="1" applyBorder="1" applyAlignment="1">
      <alignment horizontal="center" vertical="top" wrapText="1"/>
    </xf>
    <xf numFmtId="0" fontId="3" fillId="5" borderId="4" xfId="0" applyFont="1" applyFill="1" applyBorder="1"/>
    <xf numFmtId="0" fontId="3" fillId="5" borderId="6" xfId="0" applyFont="1" applyFill="1" applyBorder="1"/>
    <xf numFmtId="0" fontId="3" fillId="5" borderId="5" xfId="0" applyFont="1" applyFill="1" applyBorder="1"/>
    <xf numFmtId="0" fontId="3" fillId="5" borderId="7" xfId="0" applyFont="1" applyFill="1" applyBorder="1"/>
    <xf numFmtId="0" fontId="4" fillId="5" borderId="3" xfId="0" applyFont="1" applyFill="1" applyBorder="1" applyAlignment="1">
      <alignment horizontal="right"/>
    </xf>
    <xf numFmtId="0" fontId="4" fillId="5" borderId="5" xfId="0" applyFont="1" applyFill="1" applyBorder="1" applyAlignment="1">
      <alignment horizontal="right"/>
    </xf>
    <xf numFmtId="0" fontId="4" fillId="5" borderId="6" xfId="0" applyFont="1" applyFill="1" applyBorder="1"/>
    <xf numFmtId="0" fontId="4" fillId="5" borderId="8" xfId="0" applyFont="1" applyFill="1" applyBorder="1"/>
    <xf numFmtId="0" fontId="2" fillId="10" borderId="0" xfId="0" applyFont="1" applyFill="1" applyBorder="1" applyProtection="1"/>
    <xf numFmtId="0" fontId="2" fillId="3" borderId="0" xfId="2" applyFont="1" applyBorder="1" applyProtection="1">
      <protection hidden="1"/>
    </xf>
    <xf numFmtId="0" fontId="3" fillId="5" borderId="14" xfId="0" applyFont="1" applyFill="1" applyBorder="1"/>
    <xf numFmtId="0" fontId="4" fillId="5" borderId="15" xfId="0" applyFont="1" applyFill="1" applyBorder="1" applyAlignment="1">
      <alignment horizontal="left"/>
    </xf>
    <xf numFmtId="0" fontId="3" fillId="5" borderId="15" xfId="0" applyFont="1" applyFill="1" applyBorder="1" applyAlignment="1">
      <alignment horizontal="left"/>
    </xf>
    <xf numFmtId="0" fontId="16" fillId="10" borderId="0" xfId="0" applyFont="1" applyFill="1" applyBorder="1" applyAlignment="1">
      <alignment horizontal="left"/>
    </xf>
    <xf numFmtId="0" fontId="4" fillId="14" borderId="0" xfId="0" applyFont="1" applyFill="1" applyAlignment="1">
      <alignment horizontal="center"/>
    </xf>
    <xf numFmtId="0" fontId="3" fillId="14" borderId="0" xfId="0" applyFont="1" applyFill="1"/>
    <xf numFmtId="0" fontId="4" fillId="14" borderId="0" xfId="0" applyFont="1" applyFill="1" applyBorder="1" applyAlignment="1">
      <alignment horizontal="center"/>
    </xf>
    <xf numFmtId="0" fontId="20" fillId="14" borderId="1" xfId="1" applyFont="1" applyFill="1" applyBorder="1" applyAlignment="1">
      <alignment horizontal="center" wrapText="1"/>
    </xf>
    <xf numFmtId="0" fontId="4"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3" fillId="10" borderId="0" xfId="0" applyFont="1" applyFill="1" applyBorder="1" applyAlignment="1" applyProtection="1">
      <alignment horizontal="left"/>
    </xf>
    <xf numFmtId="0" fontId="4" fillId="7" borderId="0" xfId="0" applyFont="1" applyFill="1" applyAlignment="1">
      <alignment horizontal="left"/>
    </xf>
    <xf numFmtId="0" fontId="4" fillId="7" borderId="0" xfId="0" applyFont="1" applyFill="1" applyBorder="1" applyAlignment="1">
      <alignment horizontal="left"/>
    </xf>
    <xf numFmtId="164" fontId="3" fillId="7" borderId="0" xfId="0" applyNumberFormat="1" applyFont="1" applyFill="1" applyBorder="1" applyAlignment="1">
      <alignment horizontal="left"/>
    </xf>
    <xf numFmtId="0" fontId="3" fillId="7" borderId="5" xfId="0" applyFont="1" applyFill="1" applyBorder="1" applyAlignment="1">
      <alignment horizontal="left"/>
    </xf>
    <xf numFmtId="0" fontId="3" fillId="7" borderId="7" xfId="0" applyFont="1" applyFill="1" applyBorder="1" applyAlignment="1">
      <alignment horizontal="left"/>
    </xf>
    <xf numFmtId="0" fontId="4" fillId="7" borderId="4" xfId="0" applyFont="1" applyFill="1" applyBorder="1"/>
    <xf numFmtId="0" fontId="3" fillId="7" borderId="3" xfId="0" applyFont="1" applyFill="1" applyBorder="1"/>
    <xf numFmtId="0" fontId="3" fillId="7" borderId="14" xfId="0" applyFont="1" applyFill="1" applyBorder="1"/>
    <xf numFmtId="0" fontId="3" fillId="7" borderId="13" xfId="0" applyFont="1" applyFill="1" applyBorder="1"/>
    <xf numFmtId="0" fontId="3" fillId="7" borderId="13" xfId="0" applyFont="1" applyFill="1" applyBorder="1" applyAlignment="1">
      <alignment horizontal="left"/>
    </xf>
    <xf numFmtId="0" fontId="3" fillId="7" borderId="15" xfId="0" applyFont="1" applyFill="1" applyBorder="1" applyAlignment="1">
      <alignment horizontal="left"/>
    </xf>
    <xf numFmtId="0" fontId="3" fillId="7" borderId="14" xfId="0" applyFont="1" applyFill="1" applyBorder="1" applyAlignment="1">
      <alignment horizontal="left"/>
    </xf>
    <xf numFmtId="2" fontId="20" fillId="5" borderId="0" xfId="1" applyNumberFormat="1" applyFont="1" applyFill="1" applyBorder="1" applyAlignment="1">
      <alignment horizontal="center" vertical="top" wrapText="1"/>
    </xf>
    <xf numFmtId="0" fontId="3" fillId="5" borderId="0" xfId="0" applyFont="1" applyFill="1" applyBorder="1" applyAlignment="1">
      <alignment horizontal="left"/>
    </xf>
    <xf numFmtId="164" fontId="3" fillId="5" borderId="0" xfId="0" applyNumberFormat="1" applyFont="1" applyFill="1" applyBorder="1"/>
    <xf numFmtId="164" fontId="3" fillId="5" borderId="0" xfId="0" applyNumberFormat="1" applyFont="1" applyFill="1"/>
    <xf numFmtId="0" fontId="4" fillId="5" borderId="3" xfId="0" applyFont="1" applyFill="1" applyBorder="1"/>
    <xf numFmtId="0" fontId="0" fillId="5" borderId="0" xfId="0" applyFill="1"/>
    <xf numFmtId="2" fontId="4" fillId="5" borderId="2" xfId="0" applyNumberFormat="1" applyFont="1" applyFill="1" applyBorder="1"/>
    <xf numFmtId="2" fontId="4" fillId="7" borderId="2" xfId="0" applyNumberFormat="1" applyFont="1" applyFill="1" applyBorder="1"/>
    <xf numFmtId="165" fontId="3" fillId="5" borderId="0" xfId="0" applyNumberFormat="1" applyFont="1" applyFill="1"/>
    <xf numFmtId="0" fontId="3" fillId="7" borderId="4" xfId="0" applyFont="1" applyFill="1" applyBorder="1"/>
    <xf numFmtId="0" fontId="3" fillId="7" borderId="3" xfId="0" applyFont="1" applyFill="1" applyBorder="1" applyAlignment="1">
      <alignment horizontal="left"/>
    </xf>
    <xf numFmtId="0" fontId="3" fillId="7" borderId="0" xfId="0" applyFont="1" applyFill="1" applyBorder="1" applyAlignment="1">
      <alignment horizontal="left"/>
    </xf>
    <xf numFmtId="0" fontId="3" fillId="7" borderId="2" xfId="0" applyFont="1" applyFill="1" applyBorder="1" applyAlignment="1">
      <alignment horizontal="left"/>
    </xf>
    <xf numFmtId="0" fontId="13" fillId="7" borderId="0" xfId="0" applyFont="1" applyFill="1" applyBorder="1"/>
    <xf numFmtId="170" fontId="3" fillId="7" borderId="0" xfId="0" applyNumberFormat="1" applyFont="1" applyFill="1" applyBorder="1"/>
    <xf numFmtId="164" fontId="4" fillId="7" borderId="0" xfId="0" applyNumberFormat="1" applyFont="1" applyFill="1" applyBorder="1"/>
    <xf numFmtId="2" fontId="3" fillId="7" borderId="0" xfId="0" applyNumberFormat="1" applyFont="1" applyFill="1" applyAlignment="1">
      <alignment horizontal="right"/>
    </xf>
    <xf numFmtId="166" fontId="3" fillId="7" borderId="0" xfId="0" applyNumberFormat="1" applyFont="1" applyFill="1" applyBorder="1" applyAlignment="1">
      <alignment horizontal="right"/>
    </xf>
    <xf numFmtId="0" fontId="4" fillId="12" borderId="1" xfId="0" applyFont="1" applyFill="1" applyBorder="1"/>
    <xf numFmtId="0" fontId="3" fillId="12" borderId="1" xfId="0" applyFont="1" applyFill="1" applyBorder="1"/>
    <xf numFmtId="0" fontId="4" fillId="12" borderId="1" xfId="0" applyFont="1" applyFill="1" applyBorder="1" applyAlignment="1">
      <alignment horizontal="center"/>
    </xf>
    <xf numFmtId="0" fontId="4" fillId="6" borderId="1" xfId="0" applyFont="1" applyFill="1" applyBorder="1" applyAlignment="1">
      <alignment horizontal="center"/>
    </xf>
    <xf numFmtId="0" fontId="4" fillId="6" borderId="1" xfId="0" applyFont="1" applyFill="1" applyBorder="1"/>
    <xf numFmtId="0" fontId="0" fillId="12" borderId="0" xfId="0" applyFill="1"/>
    <xf numFmtId="0" fontId="0" fillId="6" borderId="0" xfId="0" applyFill="1"/>
    <xf numFmtId="0" fontId="6" fillId="12" borderId="0" xfId="0" applyFont="1" applyFill="1"/>
    <xf numFmtId="0" fontId="6" fillId="6" borderId="0" xfId="0" applyFont="1" applyFill="1"/>
    <xf numFmtId="2" fontId="6" fillId="12" borderId="0" xfId="0" applyNumberFormat="1" applyFont="1" applyFill="1"/>
    <xf numFmtId="0" fontId="16" fillId="6" borderId="0" xfId="0" applyFont="1" applyFill="1" applyAlignment="1">
      <alignment horizontal="center"/>
    </xf>
    <xf numFmtId="0" fontId="4" fillId="10" borderId="8" xfId="0" applyFont="1" applyFill="1" applyBorder="1"/>
    <xf numFmtId="0" fontId="13" fillId="8" borderId="0" xfId="0" applyFont="1" applyFill="1"/>
    <xf numFmtId="0" fontId="3" fillId="15" borderId="0" xfId="0" applyFont="1" applyFill="1"/>
    <xf numFmtId="0" fontId="3" fillId="15" borderId="3" xfId="0" applyFont="1" applyFill="1" applyBorder="1"/>
    <xf numFmtId="0" fontId="6" fillId="0" borderId="8" xfId="0" applyFont="1" applyBorder="1"/>
    <xf numFmtId="0" fontId="6" fillId="0" borderId="2" xfId="0" applyFont="1" applyBorder="1"/>
    <xf numFmtId="0" fontId="6" fillId="0" borderId="9" xfId="0" applyFont="1" applyBorder="1"/>
    <xf numFmtId="2" fontId="4" fillId="8" borderId="2" xfId="0" applyNumberFormat="1" applyFont="1" applyFill="1" applyBorder="1"/>
    <xf numFmtId="2" fontId="3" fillId="0" borderId="0" xfId="0" applyNumberFormat="1" applyFont="1" applyBorder="1"/>
    <xf numFmtId="0" fontId="3" fillId="15" borderId="0" xfId="0" applyFont="1" applyFill="1" applyBorder="1"/>
    <xf numFmtId="0" fontId="4" fillId="15" borderId="0" xfId="0" applyFont="1" applyFill="1" applyBorder="1"/>
    <xf numFmtId="0" fontId="4" fillId="15" borderId="0" xfId="0" applyFont="1" applyFill="1" applyBorder="1" applyAlignment="1">
      <alignment horizontal="center"/>
    </xf>
    <xf numFmtId="0" fontId="3" fillId="15" borderId="0" xfId="0" applyFont="1" applyFill="1" applyBorder="1" applyAlignment="1">
      <alignment horizontal="center"/>
    </xf>
    <xf numFmtId="0" fontId="3" fillId="0" borderId="3" xfId="0" applyFont="1" applyBorder="1"/>
    <xf numFmtId="0" fontId="3" fillId="0" borderId="6" xfId="0" applyFont="1" applyBorder="1"/>
    <xf numFmtId="0" fontId="3" fillId="0" borderId="2" xfId="0" applyFont="1" applyBorder="1"/>
    <xf numFmtId="0" fontId="4" fillId="8" borderId="0" xfId="0" applyFont="1" applyFill="1" applyBorder="1"/>
    <xf numFmtId="2" fontId="3" fillId="8" borderId="0" xfId="0" applyNumberFormat="1" applyFont="1" applyFill="1" applyBorder="1" applyAlignment="1">
      <alignment horizontal="center"/>
    </xf>
    <xf numFmtId="0" fontId="3" fillId="8" borderId="0" xfId="0" applyFont="1" applyFill="1" applyBorder="1" applyAlignment="1">
      <alignment horizontal="center"/>
    </xf>
    <xf numFmtId="2" fontId="4" fillId="8" borderId="0" xfId="0" applyNumberFormat="1" applyFont="1" applyFill="1" applyBorder="1"/>
    <xf numFmtId="2" fontId="3" fillId="8" borderId="0" xfId="0" applyNumberFormat="1" applyFont="1" applyFill="1" applyBorder="1"/>
    <xf numFmtId="2" fontId="4" fillId="8" borderId="0" xfId="0" applyNumberFormat="1" applyFont="1" applyFill="1" applyBorder="1" applyAlignment="1">
      <alignment horizontal="center"/>
    </xf>
    <xf numFmtId="2" fontId="4" fillId="8" borderId="2" xfId="0" applyNumberFormat="1" applyFont="1" applyFill="1" applyBorder="1" applyAlignment="1">
      <alignment horizontal="center"/>
    </xf>
    <xf numFmtId="0" fontId="3" fillId="15" borderId="2" xfId="0" applyFont="1" applyFill="1" applyBorder="1"/>
    <xf numFmtId="0" fontId="3" fillId="0" borderId="14" xfId="0" applyFont="1" applyFill="1" applyBorder="1" applyProtection="1">
      <protection locked="0"/>
    </xf>
    <xf numFmtId="0" fontId="3" fillId="0" borderId="13" xfId="0" applyFont="1" applyFill="1" applyBorder="1" applyProtection="1">
      <protection locked="0"/>
    </xf>
    <xf numFmtId="0" fontId="3" fillId="0" borderId="15" xfId="0" applyFont="1" applyFill="1" applyBorder="1" applyProtection="1">
      <protection locked="0"/>
    </xf>
    <xf numFmtId="0" fontId="4" fillId="16" borderId="0" xfId="0" applyFont="1" applyFill="1"/>
    <xf numFmtId="0" fontId="3" fillId="16" borderId="0" xfId="0" applyFont="1" applyFill="1" applyProtection="1">
      <protection locked="0"/>
    </xf>
    <xf numFmtId="0" fontId="3" fillId="16" borderId="0" xfId="0" applyFont="1" applyFill="1"/>
    <xf numFmtId="0" fontId="4" fillId="16" borderId="4" xfId="0" applyFont="1" applyFill="1" applyBorder="1"/>
    <xf numFmtId="0" fontId="3" fillId="16" borderId="3" xfId="0" applyFont="1" applyFill="1" applyBorder="1"/>
    <xf numFmtId="0" fontId="3" fillId="0" borderId="12" xfId="0" applyFont="1" applyBorder="1" applyProtection="1">
      <protection locked="0"/>
    </xf>
    <xf numFmtId="0" fontId="3" fillId="16" borderId="5" xfId="0" applyFont="1" applyFill="1" applyBorder="1"/>
    <xf numFmtId="0" fontId="4" fillId="16" borderId="6" xfId="0" applyFont="1" applyFill="1" applyBorder="1"/>
    <xf numFmtId="0" fontId="3" fillId="16" borderId="7" xfId="0" applyFont="1" applyFill="1" applyBorder="1"/>
    <xf numFmtId="0" fontId="3" fillId="17" borderId="0" xfId="0" applyFont="1" applyFill="1" applyProtection="1">
      <protection locked="0"/>
    </xf>
    <xf numFmtId="0" fontId="4" fillId="16" borderId="8" xfId="0" applyFont="1" applyFill="1" applyBorder="1"/>
    <xf numFmtId="0" fontId="3" fillId="16" borderId="2" xfId="0" applyFont="1" applyFill="1" applyBorder="1" applyProtection="1">
      <protection locked="0"/>
    </xf>
    <xf numFmtId="0" fontId="3" fillId="16" borderId="2" xfId="0" applyFont="1" applyFill="1" applyBorder="1"/>
    <xf numFmtId="0" fontId="3" fillId="16" borderId="9" xfId="0" applyFont="1" applyFill="1" applyBorder="1"/>
    <xf numFmtId="0" fontId="4" fillId="15" borderId="3" xfId="0" applyFont="1" applyFill="1" applyBorder="1" applyAlignment="1">
      <alignment horizontal="center"/>
    </xf>
    <xf numFmtId="0" fontId="0" fillId="8" borderId="0" xfId="0" applyFill="1"/>
    <xf numFmtId="0" fontId="3" fillId="7" borderId="3" xfId="0" applyFont="1" applyFill="1" applyBorder="1" applyAlignment="1">
      <alignment horizontal="right"/>
    </xf>
    <xf numFmtId="168" fontId="3" fillId="7" borderId="3" xfId="0" applyNumberFormat="1" applyFont="1" applyFill="1" applyBorder="1"/>
    <xf numFmtId="0" fontId="4" fillId="7" borderId="6" xfId="0" applyFont="1" applyFill="1" applyBorder="1"/>
    <xf numFmtId="0" fontId="3" fillId="7" borderId="2" xfId="0" applyFont="1" applyFill="1" applyBorder="1" applyAlignment="1">
      <alignment horizontal="right"/>
    </xf>
    <xf numFmtId="0" fontId="4" fillId="14" borderId="2" xfId="0" applyFont="1" applyFill="1" applyBorder="1"/>
    <xf numFmtId="0" fontId="4" fillId="7" borderId="0" xfId="0" applyFont="1" applyFill="1" applyAlignment="1">
      <alignment horizontal="right"/>
    </xf>
    <xf numFmtId="168" fontId="4" fillId="7" borderId="0" xfId="0" applyNumberFormat="1" applyFont="1" applyFill="1" applyBorder="1"/>
    <xf numFmtId="168" fontId="3" fillId="7" borderId="2" xfId="0" applyNumberFormat="1" applyFont="1" applyFill="1" applyBorder="1"/>
    <xf numFmtId="164" fontId="3" fillId="7" borderId="4" xfId="0" applyNumberFormat="1" applyFont="1" applyFill="1" applyBorder="1"/>
    <xf numFmtId="164" fontId="3" fillId="7" borderId="6" xfId="0" applyNumberFormat="1" applyFont="1" applyFill="1" applyBorder="1"/>
    <xf numFmtId="164" fontId="3" fillId="7" borderId="8" xfId="0" applyNumberFormat="1" applyFont="1" applyFill="1" applyBorder="1"/>
    <xf numFmtId="0" fontId="13" fillId="7" borderId="0" xfId="0" applyFont="1" applyFill="1"/>
    <xf numFmtId="0" fontId="4" fillId="14" borderId="0" xfId="0" applyFont="1" applyFill="1"/>
    <xf numFmtId="1" fontId="3" fillId="7" borderId="0" xfId="0" applyNumberFormat="1" applyFont="1" applyFill="1" applyBorder="1"/>
    <xf numFmtId="2" fontId="4" fillId="7" borderId="0" xfId="0" applyNumberFormat="1" applyFont="1" applyFill="1" applyBorder="1"/>
    <xf numFmtId="0" fontId="4" fillId="14" borderId="0" xfId="0" applyFont="1" applyFill="1" applyBorder="1"/>
    <xf numFmtId="0" fontId="2" fillId="3" borderId="10" xfId="2" applyFont="1" applyBorder="1" applyProtection="1">
      <protection hidden="1"/>
    </xf>
    <xf numFmtId="0" fontId="5" fillId="10" borderId="10" xfId="0" applyFont="1" applyFill="1" applyBorder="1" applyProtection="1"/>
    <xf numFmtId="0" fontId="5" fillId="10" borderId="11" xfId="0" applyNumberFormat="1" applyFont="1" applyFill="1" applyBorder="1" applyProtection="1"/>
    <xf numFmtId="0" fontId="2" fillId="10" borderId="4" xfId="0" applyFont="1" applyFill="1" applyBorder="1" applyProtection="1"/>
    <xf numFmtId="4" fontId="2" fillId="10" borderId="5" xfId="3" applyNumberFormat="1" applyFont="1" applyFill="1" applyBorder="1" applyProtection="1"/>
    <xf numFmtId="0" fontId="2" fillId="10" borderId="6" xfId="0" applyFont="1" applyFill="1" applyBorder="1" applyProtection="1"/>
    <xf numFmtId="4" fontId="2" fillId="10" borderId="7" xfId="3" applyNumberFormat="1" applyFont="1" applyFill="1" applyBorder="1" applyProtection="1"/>
    <xf numFmtId="0" fontId="5" fillId="10" borderId="1" xfId="0" applyFont="1" applyFill="1" applyBorder="1" applyAlignment="1" applyProtection="1">
      <alignment horizontal="right"/>
    </xf>
    <xf numFmtId="0" fontId="5" fillId="10" borderId="11" xfId="0" applyNumberFormat="1" applyFont="1" applyFill="1" applyBorder="1" applyAlignment="1" applyProtection="1">
      <alignment horizontal="right"/>
    </xf>
    <xf numFmtId="0" fontId="2" fillId="10" borderId="0" xfId="0" applyFont="1" applyFill="1" applyBorder="1" applyAlignment="1" applyProtection="1">
      <alignment horizontal="right"/>
    </xf>
    <xf numFmtId="169" fontId="2" fillId="10" borderId="7" xfId="0" applyNumberFormat="1" applyFont="1" applyFill="1" applyBorder="1" applyProtection="1"/>
    <xf numFmtId="0" fontId="2" fillId="10" borderId="2" xfId="0" applyFont="1" applyFill="1" applyBorder="1" applyAlignment="1" applyProtection="1">
      <alignment horizontal="right"/>
    </xf>
    <xf numFmtId="169" fontId="2" fillId="10" borderId="9" xfId="0" applyNumberFormat="1" applyFont="1" applyFill="1" applyBorder="1" applyProtection="1"/>
    <xf numFmtId="0" fontId="23" fillId="3" borderId="1" xfId="2" applyFont="1" applyBorder="1" applyAlignment="1" applyProtection="1">
      <alignment horizontal="right"/>
    </xf>
    <xf numFmtId="0" fontId="19" fillId="7" borderId="0" xfId="1" applyFont="1" applyFill="1" applyBorder="1" applyAlignment="1">
      <alignment horizontal="center" vertical="top" wrapText="1"/>
    </xf>
    <xf numFmtId="0" fontId="3" fillId="7" borderId="7" xfId="0" applyFont="1" applyFill="1" applyBorder="1" applyAlignment="1">
      <alignment horizontal="right"/>
    </xf>
    <xf numFmtId="0" fontId="3" fillId="7" borderId="9" xfId="0" applyFont="1" applyFill="1" applyBorder="1" applyAlignment="1">
      <alignment horizontal="right"/>
    </xf>
    <xf numFmtId="0" fontId="4" fillId="7" borderId="11" xfId="0" applyFont="1" applyFill="1" applyBorder="1" applyAlignment="1">
      <alignment horizontal="right"/>
    </xf>
    <xf numFmtId="0" fontId="3" fillId="14" borderId="0" xfId="0" applyFont="1" applyFill="1" applyBorder="1"/>
    <xf numFmtId="0" fontId="3" fillId="7" borderId="0" xfId="0" applyFont="1" applyFill="1" applyBorder="1" applyAlignment="1">
      <alignment wrapText="1"/>
    </xf>
    <xf numFmtId="0" fontId="3" fillId="7" borderId="0" xfId="0" applyFont="1" applyFill="1" applyAlignment="1">
      <alignment wrapText="1"/>
    </xf>
    <xf numFmtId="0" fontId="4" fillId="14" borderId="0" xfId="0" applyFont="1" applyFill="1" applyAlignment="1">
      <alignment horizontal="center" wrapText="1"/>
    </xf>
    <xf numFmtId="0" fontId="3" fillId="0" borderId="0" xfId="0" applyFont="1" applyFill="1" applyAlignment="1">
      <alignment wrapText="1"/>
    </xf>
    <xf numFmtId="0" fontId="3" fillId="7" borderId="8" xfId="0" applyFont="1" applyFill="1" applyBorder="1" applyAlignment="1">
      <alignment wrapText="1"/>
    </xf>
    <xf numFmtId="0" fontId="3" fillId="7" borderId="2" xfId="0" applyFont="1" applyFill="1" applyBorder="1" applyAlignment="1">
      <alignment wrapText="1"/>
    </xf>
    <xf numFmtId="0" fontId="3" fillId="7" borderId="9" xfId="0" applyFont="1" applyFill="1" applyBorder="1" applyAlignment="1">
      <alignment wrapText="1"/>
    </xf>
    <xf numFmtId="0" fontId="32" fillId="5" borderId="0" xfId="0" applyFont="1" applyFill="1"/>
    <xf numFmtId="0" fontId="13" fillId="0" borderId="0" xfId="0" applyFont="1" applyBorder="1"/>
    <xf numFmtId="0" fontId="13" fillId="8" borderId="0" xfId="0" applyFont="1" applyFill="1" applyBorder="1"/>
    <xf numFmtId="0" fontId="6" fillId="0" borderId="0" xfId="0" applyFont="1" applyBorder="1"/>
    <xf numFmtId="165" fontId="3" fillId="8" borderId="0" xfId="0" applyNumberFormat="1" applyFont="1" applyFill="1" applyBorder="1"/>
    <xf numFmtId="0" fontId="4" fillId="0" borderId="0" xfId="0" applyFont="1" applyBorder="1" applyAlignment="1">
      <alignment horizontal="right"/>
    </xf>
    <xf numFmtId="0" fontId="3" fillId="18" borderId="0" xfId="0" applyFont="1" applyFill="1" applyBorder="1"/>
    <xf numFmtId="0" fontId="4" fillId="18" borderId="0" xfId="0" applyFont="1" applyFill="1" applyBorder="1"/>
    <xf numFmtId="0" fontId="4" fillId="18" borderId="0" xfId="0" applyFont="1" applyFill="1" applyBorder="1" applyAlignment="1">
      <alignment horizontal="center"/>
    </xf>
    <xf numFmtId="0" fontId="13" fillId="8" borderId="3" xfId="0" applyFont="1" applyFill="1" applyBorder="1"/>
    <xf numFmtId="0" fontId="3" fillId="0" borderId="5" xfId="0" applyFont="1" applyBorder="1"/>
    <xf numFmtId="0" fontId="33" fillId="0" borderId="4" xfId="0" applyFont="1" applyBorder="1"/>
    <xf numFmtId="0" fontId="33" fillId="0" borderId="3" xfId="0" applyFont="1" applyBorder="1"/>
    <xf numFmtId="0" fontId="33" fillId="0" borderId="5" xfId="0" applyFont="1" applyBorder="1"/>
    <xf numFmtId="0" fontId="4" fillId="8" borderId="0" xfId="0" applyFont="1" applyFill="1" applyBorder="1" applyAlignment="1">
      <alignment horizontal="right"/>
    </xf>
    <xf numFmtId="0" fontId="3" fillId="0" borderId="7" xfId="0" applyFont="1" applyBorder="1"/>
    <xf numFmtId="0" fontId="33" fillId="0" borderId="6" xfId="0" applyFont="1" applyBorder="1"/>
    <xf numFmtId="0" fontId="33" fillId="0" borderId="0" xfId="0" applyFont="1" applyBorder="1"/>
    <xf numFmtId="0" fontId="33" fillId="0" borderId="7" xfId="0" applyFont="1" applyBorder="1"/>
    <xf numFmtId="0" fontId="3" fillId="8" borderId="0" xfId="0" applyFont="1" applyFill="1" applyBorder="1" applyAlignment="1">
      <alignment horizontal="right"/>
    </xf>
    <xf numFmtId="0" fontId="4" fillId="19" borderId="0" xfId="0" applyFont="1" applyFill="1" applyBorder="1" applyAlignment="1">
      <alignment horizontal="center"/>
    </xf>
    <xf numFmtId="1" fontId="33" fillId="0" borderId="7" xfId="0" applyNumberFormat="1" applyFont="1" applyBorder="1"/>
    <xf numFmtId="167" fontId="3" fillId="8" borderId="0" xfId="0" applyNumberFormat="1" applyFont="1" applyFill="1" applyBorder="1" applyAlignment="1">
      <alignment horizontal="center"/>
    </xf>
    <xf numFmtId="0" fontId="3" fillId="20" borderId="0" xfId="0" applyFont="1" applyFill="1" applyBorder="1"/>
    <xf numFmtId="0" fontId="4" fillId="0" borderId="2" xfId="0" applyFont="1" applyFill="1" applyBorder="1" applyProtection="1"/>
    <xf numFmtId="0" fontId="3" fillId="0" borderId="9" xfId="0" applyFont="1" applyBorder="1"/>
    <xf numFmtId="0" fontId="4" fillId="0" borderId="4" xfId="0" applyFont="1" applyFill="1" applyBorder="1" applyProtection="1"/>
    <xf numFmtId="0" fontId="3" fillId="0" borderId="3" xfId="0" applyFont="1" applyFill="1" applyBorder="1" applyProtection="1"/>
    <xf numFmtId="167" fontId="4" fillId="8" borderId="0" xfId="0" applyNumberFormat="1" applyFont="1" applyFill="1" applyBorder="1" applyAlignment="1">
      <alignment horizontal="center"/>
    </xf>
    <xf numFmtId="0" fontId="3" fillId="0" borderId="6" xfId="0" applyFont="1" applyFill="1" applyBorder="1" applyProtection="1"/>
    <xf numFmtId="0" fontId="3" fillId="0" borderId="8" xfId="0" applyFont="1" applyFill="1" applyBorder="1" applyProtection="1"/>
    <xf numFmtId="0" fontId="3" fillId="0" borderId="2" xfId="0" applyFont="1" applyFill="1" applyBorder="1" applyProtection="1"/>
    <xf numFmtId="0" fontId="3" fillId="0" borderId="0" xfId="0" applyFont="1" applyBorder="1" applyAlignment="1">
      <alignment horizontal="right" vertical="center"/>
    </xf>
    <xf numFmtId="0" fontId="3" fillId="0" borderId="0" xfId="0" applyFont="1" applyBorder="1" applyAlignment="1">
      <alignment horizontal="right"/>
    </xf>
    <xf numFmtId="2" fontId="3" fillId="0" borderId="0" xfId="0" applyNumberFormat="1" applyFont="1" applyBorder="1" applyAlignment="1">
      <alignment horizontal="right" vertical="center"/>
    </xf>
    <xf numFmtId="0" fontId="34" fillId="0" borderId="6" xfId="0" applyFont="1" applyBorder="1"/>
    <xf numFmtId="0" fontId="33" fillId="0" borderId="6" xfId="0" applyFont="1" applyBorder="1" applyAlignment="1">
      <alignment horizontal="left"/>
    </xf>
    <xf numFmtId="0" fontId="35" fillId="0" borderId="6" xfId="0" applyFont="1" applyBorder="1"/>
    <xf numFmtId="1" fontId="35" fillId="0" borderId="0" xfId="0" applyNumberFormat="1" applyFont="1" applyBorder="1"/>
    <xf numFmtId="1" fontId="35" fillId="0" borderId="7" xfId="0" applyNumberFormat="1" applyFont="1" applyBorder="1"/>
    <xf numFmtId="0" fontId="33" fillId="0" borderId="2" xfId="0" applyFont="1" applyBorder="1"/>
    <xf numFmtId="0" fontId="33" fillId="0" borderId="9" xfId="0" applyFont="1" applyBorder="1"/>
    <xf numFmtId="2" fontId="3" fillId="8" borderId="0" xfId="0" applyNumberFormat="1" applyFont="1" applyFill="1" applyBorder="1" applyAlignment="1">
      <alignment horizontal="right"/>
    </xf>
    <xf numFmtId="0" fontId="6" fillId="0" borderId="4" xfId="0" applyFont="1" applyBorder="1" applyAlignment="1">
      <alignment wrapText="1"/>
    </xf>
    <xf numFmtId="0" fontId="6" fillId="0" borderId="3" xfId="0" applyFont="1" applyBorder="1" applyAlignment="1">
      <alignment wrapText="1"/>
    </xf>
    <xf numFmtId="0" fontId="6" fillId="0" borderId="3" xfId="0" applyFont="1" applyBorder="1" applyAlignment="1">
      <alignment vertical="top" wrapText="1"/>
    </xf>
    <xf numFmtId="0" fontId="6" fillId="0" borderId="5" xfId="0" applyFont="1" applyBorder="1" applyAlignment="1">
      <alignment vertical="top" wrapText="1"/>
    </xf>
    <xf numFmtId="0" fontId="0" fillId="0" borderId="0" xfId="0" applyBorder="1"/>
    <xf numFmtId="0" fontId="6" fillId="0" borderId="6" xfId="0" applyFont="1" applyBorder="1" applyAlignment="1">
      <alignment wrapText="1"/>
    </xf>
    <xf numFmtId="0" fontId="6" fillId="0" borderId="0" xfId="0" applyFont="1" applyBorder="1" applyAlignment="1">
      <alignment wrapText="1"/>
    </xf>
    <xf numFmtId="0" fontId="6" fillId="0" borderId="0" xfId="0" applyFont="1" applyBorder="1" applyAlignment="1">
      <alignment vertical="top" wrapText="1"/>
    </xf>
    <xf numFmtId="0" fontId="6" fillId="0" borderId="7" xfId="0" applyFont="1" applyBorder="1" applyAlignment="1">
      <alignment wrapText="1"/>
    </xf>
    <xf numFmtId="0" fontId="6" fillId="0" borderId="8" xfId="0" applyFont="1" applyBorder="1" applyAlignment="1">
      <alignment wrapText="1"/>
    </xf>
    <xf numFmtId="0" fontId="6" fillId="0" borderId="2" xfId="0" applyFont="1" applyBorder="1" applyAlignment="1">
      <alignment wrapText="1"/>
    </xf>
    <xf numFmtId="0" fontId="6" fillId="0" borderId="2" xfId="0" applyFont="1" applyBorder="1" applyAlignment="1">
      <alignment vertical="top" wrapText="1"/>
    </xf>
    <xf numFmtId="0" fontId="6" fillId="0" borderId="9" xfId="0" applyFont="1" applyBorder="1" applyAlignment="1">
      <alignment wrapText="1"/>
    </xf>
    <xf numFmtId="0" fontId="6" fillId="0" borderId="6" xfId="0" applyFont="1" applyBorder="1"/>
    <xf numFmtId="0" fontId="6" fillId="0" borderId="7" xfId="0" applyFont="1" applyBorder="1"/>
    <xf numFmtId="2" fontId="4" fillId="8" borderId="0" xfId="0" applyNumberFormat="1" applyFont="1" applyFill="1" applyBorder="1" applyAlignment="1">
      <alignment horizontal="right"/>
    </xf>
    <xf numFmtId="0" fontId="4" fillId="8" borderId="2" xfId="0" applyFont="1" applyFill="1" applyBorder="1" applyAlignment="1">
      <alignment horizontal="right"/>
    </xf>
    <xf numFmtId="0" fontId="13" fillId="18" borderId="0" xfId="0" applyFont="1" applyFill="1"/>
    <xf numFmtId="0" fontId="0" fillId="18" borderId="0" xfId="0" applyFill="1"/>
    <xf numFmtId="2" fontId="3" fillId="8" borderId="2" xfId="0" applyNumberFormat="1" applyFont="1" applyFill="1" applyBorder="1"/>
    <xf numFmtId="0" fontId="4" fillId="15" borderId="2" xfId="0" applyFont="1" applyFill="1" applyBorder="1" applyAlignment="1">
      <alignment horizontal="center"/>
    </xf>
    <xf numFmtId="0" fontId="28" fillId="12" borderId="3" xfId="0" applyFont="1" applyFill="1" applyBorder="1"/>
    <xf numFmtId="0" fontId="28" fillId="12" borderId="3" xfId="0" applyFont="1" applyFill="1" applyBorder="1" applyAlignment="1">
      <alignment horizontal="right"/>
    </xf>
    <xf numFmtId="0" fontId="0" fillId="12" borderId="3" xfId="0" applyFill="1" applyBorder="1"/>
    <xf numFmtId="3" fontId="0" fillId="12" borderId="0" xfId="0" applyNumberFormat="1" applyFill="1"/>
    <xf numFmtId="0" fontId="0" fillId="12" borderId="2" xfId="0" applyFill="1" applyBorder="1"/>
    <xf numFmtId="3" fontId="0" fillId="12" borderId="2" xfId="0" applyNumberFormat="1" applyFill="1" applyBorder="1"/>
    <xf numFmtId="0" fontId="28" fillId="12" borderId="3" xfId="0" applyFont="1" applyFill="1" applyBorder="1" applyAlignment="1">
      <alignment horizontal="left"/>
    </xf>
    <xf numFmtId="2" fontId="0" fillId="12" borderId="3" xfId="0" applyNumberFormat="1" applyFont="1" applyFill="1" applyBorder="1" applyAlignment="1">
      <alignment horizontal="right"/>
    </xf>
    <xf numFmtId="0" fontId="0" fillId="12" borderId="0" xfId="0" applyFill="1" applyBorder="1"/>
    <xf numFmtId="2" fontId="0" fillId="12" borderId="0" xfId="0" applyNumberFormat="1" applyFill="1" applyBorder="1"/>
    <xf numFmtId="2" fontId="0" fillId="12" borderId="0" xfId="0" applyNumberFormat="1" applyFill="1"/>
    <xf numFmtId="2" fontId="0" fillId="12" borderId="2" xfId="0" applyNumberFormat="1" applyFill="1" applyBorder="1"/>
    <xf numFmtId="0" fontId="0" fillId="12" borderId="3" xfId="0" applyFont="1" applyFill="1" applyBorder="1"/>
    <xf numFmtId="0" fontId="3" fillId="4" borderId="0" xfId="0" applyFont="1" applyFill="1" applyAlignment="1">
      <alignment horizontal="right"/>
    </xf>
    <xf numFmtId="0" fontId="3" fillId="4" borderId="0" xfId="0" applyFont="1" applyFill="1" applyBorder="1" applyAlignment="1">
      <alignment horizontal="right"/>
    </xf>
    <xf numFmtId="0" fontId="3" fillId="4" borderId="2" xfId="0" applyFont="1" applyFill="1" applyBorder="1" applyAlignment="1">
      <alignment horizontal="right"/>
    </xf>
    <xf numFmtId="0" fontId="20" fillId="6" borderId="0" xfId="1" applyFont="1" applyFill="1" applyBorder="1" applyAlignment="1">
      <alignment horizontal="right"/>
    </xf>
    <xf numFmtId="0" fontId="19" fillId="6" borderId="0" xfId="1" applyFont="1" applyFill="1" applyBorder="1" applyAlignment="1">
      <alignment horizontal="right"/>
    </xf>
    <xf numFmtId="2" fontId="19" fillId="5" borderId="0" xfId="1" applyNumberFormat="1" applyFont="1" applyFill="1" applyBorder="1" applyAlignment="1">
      <alignment horizontal="right" vertical="top" wrapText="1"/>
    </xf>
    <xf numFmtId="2" fontId="3" fillId="5" borderId="0" xfId="0" applyNumberFormat="1" applyFont="1" applyFill="1" applyAlignment="1">
      <alignment horizontal="right"/>
    </xf>
    <xf numFmtId="0" fontId="4" fillId="21" borderId="0" xfId="0" applyFont="1" applyFill="1" applyAlignment="1">
      <alignment horizontal="center"/>
    </xf>
    <xf numFmtId="1" fontId="3" fillId="10" borderId="6" xfId="0" applyNumberFormat="1" applyFont="1" applyFill="1" applyBorder="1"/>
    <xf numFmtId="2" fontId="4" fillId="5" borderId="0" xfId="0" applyNumberFormat="1" applyFont="1" applyFill="1" applyBorder="1"/>
    <xf numFmtId="166" fontId="3" fillId="5" borderId="7" xfId="0" applyNumberFormat="1" applyFont="1" applyFill="1" applyBorder="1"/>
    <xf numFmtId="166" fontId="4" fillId="5" borderId="9" xfId="0" applyNumberFormat="1" applyFont="1" applyFill="1" applyBorder="1"/>
    <xf numFmtId="0" fontId="32" fillId="22" borderId="0" xfId="0" applyFont="1" applyFill="1"/>
    <xf numFmtId="167" fontId="3" fillId="7" borderId="0" xfId="0" applyNumberFormat="1" applyFont="1" applyFill="1" applyBorder="1"/>
    <xf numFmtId="165" fontId="6" fillId="12" borderId="0" xfId="0" applyNumberFormat="1" applyFont="1" applyFill="1"/>
    <xf numFmtId="0" fontId="6" fillId="18" borderId="3" xfId="0" applyFont="1" applyFill="1" applyBorder="1"/>
    <xf numFmtId="0" fontId="6" fillId="18" borderId="2" xfId="0" applyFont="1" applyFill="1" applyBorder="1"/>
    <xf numFmtId="0" fontId="13" fillId="18" borderId="0" xfId="0" applyFont="1" applyFill="1" applyBorder="1"/>
    <xf numFmtId="0" fontId="4" fillId="23" borderId="1" xfId="0" applyFont="1" applyFill="1" applyBorder="1" applyAlignment="1"/>
    <xf numFmtId="0" fontId="4" fillId="23" borderId="1" xfId="0" applyFont="1" applyFill="1" applyBorder="1" applyAlignment="1">
      <alignment horizontal="center"/>
    </xf>
    <xf numFmtId="0" fontId="4" fillId="23" borderId="1" xfId="0" applyFont="1" applyFill="1" applyBorder="1" applyAlignment="1">
      <alignment horizontal="right"/>
    </xf>
    <xf numFmtId="0" fontId="4" fillId="24" borderId="1" xfId="0" applyFont="1" applyFill="1" applyBorder="1" applyAlignment="1">
      <alignment horizontal="center"/>
    </xf>
    <xf numFmtId="0" fontId="4" fillId="24" borderId="1" xfId="0" applyFont="1" applyFill="1" applyBorder="1"/>
    <xf numFmtId="0" fontId="3" fillId="23" borderId="0" xfId="0" applyFont="1" applyFill="1" applyBorder="1"/>
    <xf numFmtId="0" fontId="3" fillId="23" borderId="0" xfId="0" applyFont="1" applyFill="1" applyBorder="1" applyAlignment="1">
      <alignment horizontal="center"/>
    </xf>
    <xf numFmtId="0" fontId="3" fillId="24" borderId="0" xfId="0" applyFont="1" applyFill="1" applyBorder="1"/>
    <xf numFmtId="0" fontId="3" fillId="23" borderId="4" xfId="0" applyFont="1" applyFill="1" applyBorder="1" applyAlignment="1"/>
    <xf numFmtId="0" fontId="3" fillId="23" borderId="3" xfId="0" applyFont="1" applyFill="1" applyBorder="1" applyAlignment="1">
      <alignment horizontal="center"/>
    </xf>
    <xf numFmtId="0" fontId="3" fillId="23" borderId="5" xfId="0" applyFont="1" applyFill="1" applyBorder="1" applyAlignment="1">
      <alignment horizontal="right"/>
    </xf>
    <xf numFmtId="0" fontId="3" fillId="24" borderId="0" xfId="0" applyFont="1" applyFill="1" applyBorder="1" applyAlignment="1">
      <alignment horizontal="center"/>
    </xf>
    <xf numFmtId="0" fontId="3" fillId="23" borderId="6" xfId="0" applyFont="1" applyFill="1" applyBorder="1" applyAlignment="1"/>
    <xf numFmtId="0" fontId="3" fillId="23" borderId="7" xfId="0" applyFont="1" applyFill="1" applyBorder="1" applyAlignment="1">
      <alignment horizontal="right"/>
    </xf>
    <xf numFmtId="0" fontId="3" fillId="23" borderId="8" xfId="0" applyFont="1" applyFill="1" applyBorder="1" applyAlignment="1"/>
    <xf numFmtId="0" fontId="3" fillId="23" borderId="2" xfId="0" applyFont="1" applyFill="1" applyBorder="1" applyAlignment="1">
      <alignment horizontal="center"/>
    </xf>
    <xf numFmtId="0" fontId="3" fillId="23" borderId="9" xfId="0" applyFont="1" applyFill="1" applyBorder="1" applyAlignment="1">
      <alignment horizontal="right"/>
    </xf>
    <xf numFmtId="0" fontId="3" fillId="23" borderId="0" xfId="0" applyFont="1" applyFill="1" applyBorder="1" applyAlignment="1"/>
    <xf numFmtId="0" fontId="3" fillId="23" borderId="0" xfId="0" applyFont="1" applyFill="1" applyBorder="1" applyAlignment="1">
      <alignment horizontal="right"/>
    </xf>
    <xf numFmtId="0" fontId="3" fillId="23" borderId="2" xfId="0" applyFont="1" applyFill="1" applyBorder="1" applyAlignment="1"/>
    <xf numFmtId="0" fontId="3" fillId="23" borderId="3" xfId="0" applyFont="1" applyFill="1" applyBorder="1" applyAlignment="1"/>
    <xf numFmtId="0" fontId="3" fillId="23" borderId="3" xfId="0" applyFont="1" applyFill="1" applyBorder="1" applyAlignment="1">
      <alignment horizontal="right"/>
    </xf>
    <xf numFmtId="0" fontId="3" fillId="23" borderId="2" xfId="0" applyFont="1" applyFill="1" applyBorder="1" applyAlignment="1">
      <alignment horizontal="right"/>
    </xf>
    <xf numFmtId="0" fontId="4" fillId="23" borderId="0" xfId="0" applyFont="1" applyFill="1" applyBorder="1"/>
    <xf numFmtId="2" fontId="3" fillId="23" borderId="0" xfId="0" applyNumberFormat="1" applyFont="1" applyFill="1" applyBorder="1" applyAlignment="1">
      <alignment horizontal="center"/>
    </xf>
    <xf numFmtId="2" fontId="4" fillId="23" borderId="0" xfId="0" applyNumberFormat="1" applyFont="1" applyFill="1" applyBorder="1" applyAlignment="1">
      <alignment horizontal="left"/>
    </xf>
    <xf numFmtId="0" fontId="4" fillId="24" borderId="0" xfId="0" applyFont="1" applyFill="1" applyBorder="1" applyAlignment="1">
      <alignment horizontal="center"/>
    </xf>
    <xf numFmtId="0" fontId="3" fillId="23" borderId="0" xfId="0" applyFont="1" applyFill="1" applyBorder="1" applyAlignment="1">
      <alignment horizontal="left"/>
    </xf>
    <xf numFmtId="2" fontId="3" fillId="23" borderId="0" xfId="0" applyNumberFormat="1" applyFont="1" applyFill="1" applyBorder="1" applyAlignment="1"/>
    <xf numFmtId="0" fontId="4" fillId="24" borderId="0" xfId="0" applyFont="1" applyFill="1" applyBorder="1" applyAlignment="1">
      <alignment horizontal="center" vertical="top" wrapText="1"/>
    </xf>
    <xf numFmtId="166" fontId="3" fillId="23" borderId="0" xfId="0" applyNumberFormat="1" applyFont="1" applyFill="1" applyBorder="1" applyAlignment="1">
      <alignment horizontal="center"/>
    </xf>
    <xf numFmtId="2" fontId="3" fillId="23" borderId="0" xfId="0" applyNumberFormat="1" applyFont="1" applyFill="1" applyBorder="1" applyAlignment="1">
      <alignment horizontal="right"/>
    </xf>
    <xf numFmtId="0" fontId="4" fillId="23" borderId="0" xfId="0" applyFont="1" applyFill="1" applyBorder="1" applyAlignment="1">
      <alignment horizontal="left"/>
    </xf>
    <xf numFmtId="165" fontId="3" fillId="23" borderId="0" xfId="0" applyNumberFormat="1" applyFont="1" applyFill="1" applyBorder="1" applyAlignment="1">
      <alignment horizontal="center"/>
    </xf>
    <xf numFmtId="0" fontId="4" fillId="23" borderId="2" xfId="0" applyFont="1" applyFill="1" applyBorder="1" applyAlignment="1">
      <alignment horizontal="left"/>
    </xf>
    <xf numFmtId="2" fontId="4" fillId="23" borderId="2" xfId="0" applyNumberFormat="1" applyFont="1" applyFill="1" applyBorder="1" applyAlignment="1">
      <alignment horizontal="center"/>
    </xf>
    <xf numFmtId="0" fontId="4" fillId="23" borderId="2" xfId="0" applyFont="1" applyFill="1" applyBorder="1" applyAlignment="1">
      <alignment horizontal="right"/>
    </xf>
    <xf numFmtId="0" fontId="3" fillId="24" borderId="2" xfId="0" applyFont="1" applyFill="1" applyBorder="1"/>
    <xf numFmtId="0" fontId="29" fillId="25" borderId="4" xfId="0" applyFont="1" applyFill="1" applyBorder="1"/>
    <xf numFmtId="0" fontId="38" fillId="25" borderId="3" xfId="0" applyFont="1" applyFill="1" applyBorder="1"/>
    <xf numFmtId="0" fontId="38" fillId="0" borderId="3" xfId="0" applyFont="1" applyFill="1" applyBorder="1" applyProtection="1">
      <protection locked="0"/>
    </xf>
    <xf numFmtId="0" fontId="38" fillId="25" borderId="5" xfId="0" applyFont="1" applyFill="1" applyBorder="1"/>
    <xf numFmtId="0" fontId="29" fillId="25" borderId="8" xfId="0" applyFont="1" applyFill="1" applyBorder="1"/>
    <xf numFmtId="0" fontId="38" fillId="25" borderId="2" xfId="0" applyFont="1" applyFill="1" applyBorder="1"/>
    <xf numFmtId="0" fontId="38" fillId="0" borderId="2" xfId="0" applyFont="1" applyFill="1" applyBorder="1" applyProtection="1">
      <protection locked="0"/>
    </xf>
    <xf numFmtId="0" fontId="38" fillId="25" borderId="9" xfId="0" applyFont="1" applyFill="1" applyBorder="1"/>
    <xf numFmtId="0" fontId="6" fillId="10" borderId="7" xfId="0" applyFont="1" applyFill="1" applyBorder="1" applyProtection="1"/>
    <xf numFmtId="0" fontId="6" fillId="10" borderId="9" xfId="0" applyFont="1" applyFill="1" applyBorder="1" applyProtection="1"/>
    <xf numFmtId="0" fontId="23" fillId="3" borderId="0" xfId="2" applyFont="1" applyBorder="1" applyAlignment="1" applyProtection="1">
      <alignment horizontal="right"/>
    </xf>
    <xf numFmtId="0" fontId="3" fillId="14" borderId="2" xfId="0" applyFont="1" applyFill="1" applyBorder="1"/>
    <xf numFmtId="2" fontId="2" fillId="10" borderId="7" xfId="0" applyNumberFormat="1" applyFont="1" applyFill="1" applyBorder="1" applyProtection="1"/>
    <xf numFmtId="3" fontId="5" fillId="10" borderId="11" xfId="3" applyNumberFormat="1" applyFont="1" applyFill="1" applyBorder="1" applyProtection="1"/>
    <xf numFmtId="0" fontId="16" fillId="12" borderId="2" xfId="0" applyFont="1" applyFill="1" applyBorder="1"/>
    <xf numFmtId="2" fontId="16" fillId="12" borderId="2" xfId="0" applyNumberFormat="1" applyFont="1" applyFill="1" applyBorder="1"/>
    <xf numFmtId="0" fontId="6" fillId="6" borderId="2" xfId="0" applyFont="1" applyFill="1" applyBorder="1"/>
    <xf numFmtId="0" fontId="6" fillId="6" borderId="0" xfId="0" applyFont="1" applyFill="1" applyAlignment="1">
      <alignment horizontal="center"/>
    </xf>
    <xf numFmtId="167" fontId="3" fillId="0" borderId="0" xfId="0" applyNumberFormat="1" applyFont="1"/>
    <xf numFmtId="1" fontId="3" fillId="0" borderId="0" xfId="0" applyNumberFormat="1" applyFont="1" applyFill="1" applyBorder="1" applyProtection="1">
      <protection locked="0"/>
    </xf>
    <xf numFmtId="166" fontId="3" fillId="4" borderId="0" xfId="0" applyNumberFormat="1" applyFont="1" applyFill="1"/>
    <xf numFmtId="166" fontId="19" fillId="4" borderId="0" xfId="2" applyNumberFormat="1" applyFont="1" applyFill="1" applyBorder="1"/>
    <xf numFmtId="166" fontId="4" fillId="4" borderId="2" xfId="0" applyNumberFormat="1" applyFont="1" applyFill="1" applyBorder="1"/>
    <xf numFmtId="165" fontId="19" fillId="4" borderId="0" xfId="2" applyNumberFormat="1" applyFont="1" applyFill="1" applyBorder="1"/>
    <xf numFmtId="164" fontId="19" fillId="6" borderId="0" xfId="1" applyNumberFormat="1" applyFont="1" applyFill="1" applyBorder="1"/>
    <xf numFmtId="166" fontId="4" fillId="6" borderId="2" xfId="0" applyNumberFormat="1" applyFont="1" applyFill="1" applyBorder="1"/>
    <xf numFmtId="171" fontId="3" fillId="5" borderId="0" xfId="0" applyNumberFormat="1" applyFont="1" applyFill="1"/>
    <xf numFmtId="171" fontId="3" fillId="5" borderId="0" xfId="0" applyNumberFormat="1" applyFont="1" applyFill="1" applyBorder="1"/>
    <xf numFmtId="166" fontId="4" fillId="5" borderId="2" xfId="0" applyNumberFormat="1" applyFont="1" applyFill="1" applyBorder="1"/>
    <xf numFmtId="165" fontId="4" fillId="5" borderId="2" xfId="0" applyNumberFormat="1" applyFont="1" applyFill="1" applyBorder="1"/>
    <xf numFmtId="168" fontId="3" fillId="5" borderId="0" xfId="0" applyNumberFormat="1" applyFont="1" applyFill="1" applyBorder="1"/>
    <xf numFmtId="172" fontId="3" fillId="5" borderId="0" xfId="0" applyNumberFormat="1" applyFont="1" applyFill="1" applyBorder="1"/>
    <xf numFmtId="173" fontId="3" fillId="5" borderId="0" xfId="0" applyNumberFormat="1" applyFont="1" applyFill="1" applyBorder="1"/>
    <xf numFmtId="164" fontId="3" fillId="7" borderId="0" xfId="0" applyNumberFormat="1" applyFont="1" applyFill="1" applyBorder="1" applyAlignment="1">
      <alignment horizontal="right"/>
    </xf>
    <xf numFmtId="171" fontId="3" fillId="7" borderId="0" xfId="0" applyNumberFormat="1" applyFont="1" applyFill="1" applyBorder="1"/>
    <xf numFmtId="171" fontId="3" fillId="7" borderId="0" xfId="0" applyNumberFormat="1" applyFont="1" applyFill="1"/>
    <xf numFmtId="0" fontId="3" fillId="6" borderId="0" xfId="0" applyFont="1" applyFill="1" applyAlignment="1">
      <alignment horizontal="left"/>
    </xf>
    <xf numFmtId="0" fontId="3" fillId="26" borderId="0" xfId="0" applyFont="1" applyFill="1"/>
    <xf numFmtId="0" fontId="0" fillId="26" borderId="0" xfId="0" applyFill="1"/>
    <xf numFmtId="0" fontId="3" fillId="26" borderId="0" xfId="0" applyFont="1" applyFill="1" applyBorder="1"/>
    <xf numFmtId="0" fontId="20" fillId="26" borderId="1" xfId="1" applyFont="1" applyFill="1" applyBorder="1"/>
    <xf numFmtId="0" fontId="20" fillId="26" borderId="1" xfId="1" applyFont="1" applyFill="1" applyBorder="1" applyAlignment="1">
      <alignment horizontal="center" vertical="top"/>
    </xf>
    <xf numFmtId="0" fontId="20" fillId="26" borderId="0" xfId="1" applyFont="1" applyFill="1" applyBorder="1"/>
    <xf numFmtId="0" fontId="20" fillId="26" borderId="0" xfId="1" applyFont="1" applyFill="1" applyBorder="1" applyAlignment="1">
      <alignment horizontal="center" vertical="top" wrapText="1"/>
    </xf>
    <xf numFmtId="0" fontId="3" fillId="26" borderId="0" xfId="0" applyFont="1" applyFill="1" applyAlignment="1">
      <alignment horizontal="right"/>
    </xf>
    <xf numFmtId="0" fontId="29" fillId="27" borderId="0" xfId="0" applyFont="1" applyFill="1"/>
    <xf numFmtId="2" fontId="3" fillId="26" borderId="0" xfId="0" applyNumberFormat="1" applyFont="1" applyFill="1"/>
    <xf numFmtId="0" fontId="4" fillId="26" borderId="0" xfId="0" applyFont="1" applyFill="1"/>
    <xf numFmtId="0" fontId="19" fillId="26" borderId="0" xfId="1" applyFont="1" applyFill="1" applyBorder="1"/>
    <xf numFmtId="0" fontId="3" fillId="26" borderId="4" xfId="0" applyFont="1" applyFill="1" applyBorder="1"/>
    <xf numFmtId="0" fontId="3" fillId="26" borderId="3" xfId="0" applyFont="1" applyFill="1" applyBorder="1"/>
    <xf numFmtId="0" fontId="3" fillId="26" borderId="5" xfId="0" applyFont="1" applyFill="1" applyBorder="1"/>
    <xf numFmtId="0" fontId="3" fillId="26" borderId="6" xfId="0" applyFont="1" applyFill="1" applyBorder="1"/>
    <xf numFmtId="0" fontId="3" fillId="26" borderId="7" xfId="0" applyFont="1" applyFill="1" applyBorder="1"/>
    <xf numFmtId="0" fontId="3" fillId="26" borderId="8" xfId="0" applyFont="1" applyFill="1" applyBorder="1"/>
    <xf numFmtId="0" fontId="3" fillId="26" borderId="2" xfId="0" applyFont="1" applyFill="1" applyBorder="1"/>
    <xf numFmtId="0" fontId="3" fillId="26" borderId="9" xfId="0" applyFont="1" applyFill="1" applyBorder="1"/>
    <xf numFmtId="0" fontId="4" fillId="26" borderId="4" xfId="0" applyFont="1" applyFill="1" applyBorder="1"/>
    <xf numFmtId="0" fontId="4" fillId="26" borderId="3" xfId="0" applyFont="1" applyFill="1" applyBorder="1"/>
    <xf numFmtId="0" fontId="4" fillId="26" borderId="3" xfId="0" applyFont="1" applyFill="1" applyBorder="1" applyAlignment="1">
      <alignment horizontal="right"/>
    </xf>
    <xf numFmtId="0" fontId="5" fillId="3" borderId="10" xfId="2" applyFont="1" applyBorder="1" applyAlignment="1" applyProtection="1">
      <alignment horizontal="left"/>
    </xf>
    <xf numFmtId="0" fontId="5" fillId="3" borderId="1" xfId="2" applyFont="1" applyBorder="1" applyAlignment="1" applyProtection="1">
      <alignment horizontal="left"/>
    </xf>
    <xf numFmtId="0" fontId="13" fillId="0" borderId="0" xfId="0" applyFont="1" applyProtection="1"/>
  </cellXfs>
  <cellStyles count="763">
    <cellStyle name="40% - Accent3" xfId="1" builtinId="39"/>
    <cellStyle name="40% - Accent4" xfId="2" builtinId="43"/>
    <cellStyle name="Comma" xfId="3" builtinId="3"/>
    <cellStyle name="Currency" xfId="4" builtinId="4"/>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'Data summary'!$M$4:$M$6</c:f>
              <c:strCache>
                <c:ptCount val="3"/>
                <c:pt idx="0">
                  <c:v>CO2</c:v>
                </c:pt>
                <c:pt idx="1">
                  <c:v>CH4</c:v>
                </c:pt>
                <c:pt idx="2">
                  <c:v>N2O</c:v>
                </c:pt>
              </c:strCache>
            </c:strRef>
          </c:cat>
          <c:val>
            <c:numRef>
              <c:f>'Data summary'!$N$4:$N$6</c:f>
              <c:numCache>
                <c:formatCode>_-* #,##0_-;\-* #,##0_-;_-* "-"??_-;_-@_-</c:formatCode>
                <c:ptCount val="3"/>
                <c:pt idx="0">
                  <c:v>61.516333333333328</c:v>
                </c:pt>
                <c:pt idx="1">
                  <c:v>1533.3305485227372</c:v>
                </c:pt>
                <c:pt idx="2">
                  <c:v>338.91275819210119</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77799907364521"/>
          <c:y val="0.135483870967742"/>
          <c:w val="0.432773109243697"/>
          <c:h val="0.66451612903225799"/>
        </c:manualLayout>
      </c:layout>
      <c:pieChart>
        <c:varyColors val="1"/>
        <c:ser>
          <c:idx val="0"/>
          <c:order val="0"/>
          <c:cat>
            <c:strRef>
              <c:f>'Data summary'!$K$4:$K$20</c:f>
              <c:strCache>
                <c:ptCount val="17"/>
                <c:pt idx="0">
                  <c:v>CO2 - Energy</c:v>
                </c:pt>
                <c:pt idx="1">
                  <c:v>CO2 - Transport</c:v>
                </c:pt>
                <c:pt idx="2">
                  <c:v>CO2 - Lime</c:v>
                </c:pt>
                <c:pt idx="3">
                  <c:v>CO2 - Urea</c:v>
                </c:pt>
                <c:pt idx="4">
                  <c:v>CH4 - Energy</c:v>
                </c:pt>
                <c:pt idx="5">
                  <c:v>CH4 - Enteric</c:v>
                </c:pt>
                <c:pt idx="6">
                  <c:v>CH4 - Manure Management</c:v>
                </c:pt>
                <c:pt idx="7">
                  <c:v>CH4 - Transport</c:v>
                </c:pt>
                <c:pt idx="8">
                  <c:v>N2O - Direct Fertiliser</c:v>
                </c:pt>
                <c:pt idx="9">
                  <c:v>N2O - Manure Management</c:v>
                </c:pt>
                <c:pt idx="10">
                  <c:v>N2O - Animal Wastes</c:v>
                </c:pt>
                <c:pt idx="11">
                  <c:v>N2O - Sewage </c:v>
                </c:pt>
                <c:pt idx="12">
                  <c:v>N2O - Direct Dung &amp; Urine</c:v>
                </c:pt>
                <c:pt idx="13">
                  <c:v>N2O - Atmospheric Deposition</c:v>
                </c:pt>
                <c:pt idx="14">
                  <c:v>N2O - Leaching</c:v>
                </c:pt>
                <c:pt idx="15">
                  <c:v>N2O - Energy</c:v>
                </c:pt>
                <c:pt idx="16">
                  <c:v>N2O - Transport</c:v>
                </c:pt>
              </c:strCache>
            </c:strRef>
          </c:cat>
          <c:val>
            <c:numRef>
              <c:f>'Data summary'!$L$4:$L$20</c:f>
              <c:numCache>
                <c:formatCode>#,##0.00</c:formatCode>
                <c:ptCount val="17"/>
                <c:pt idx="0">
                  <c:v>0</c:v>
                </c:pt>
                <c:pt idx="1">
                  <c:v>0</c:v>
                </c:pt>
                <c:pt idx="2">
                  <c:v>2.8496666666666663</c:v>
                </c:pt>
                <c:pt idx="3">
                  <c:v>58.666666666666664</c:v>
                </c:pt>
                <c:pt idx="4">
                  <c:v>0</c:v>
                </c:pt>
                <c:pt idx="5">
                  <c:v>1310.2092936660724</c:v>
                </c:pt>
                <c:pt idx="6">
                  <c:v>223.12125485666473</c:v>
                </c:pt>
                <c:pt idx="7">
                  <c:v>0</c:v>
                </c:pt>
                <c:pt idx="8">
                  <c:v>74.925714285714292</c:v>
                </c:pt>
                <c:pt idx="9">
                  <c:v>9.6142609738868696</c:v>
                </c:pt>
                <c:pt idx="10">
                  <c:v>25.386993762072628</c:v>
                </c:pt>
                <c:pt idx="11">
                  <c:v>0</c:v>
                </c:pt>
                <c:pt idx="12">
                  <c:v>85.8118922556108</c:v>
                </c:pt>
                <c:pt idx="13">
                  <c:v>32.026502235268062</c:v>
                </c:pt>
                <c:pt idx="14">
                  <c:v>111.14739467954855</c:v>
                </c:pt>
                <c:pt idx="15">
                  <c:v>0</c:v>
                </c:pt>
                <c:pt idx="16" formatCode="0.00">
                  <c:v>0</c:v>
                </c:pt>
              </c:numCache>
            </c:numRef>
          </c:val>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spPr>
    <a:ln>
      <a:noFill/>
    </a:ln>
  </c:spPr>
  <c:printSettings>
    <c:headerFooter/>
    <c:pageMargins b="1" l="0.75" r="0.75" t="1" header="0.5" footer="0.5"/>
    <c:pageSetup/>
  </c:printSettings>
</c:chartSpace>
</file>

<file path=xl/ctrlProps/ctrlProp1.xml><?xml version="1.0" encoding="utf-8"?>
<formControlPr xmlns="http://schemas.microsoft.com/office/spreadsheetml/2009/9/main" objectType="Drop" dropLines="85" dropStyle="combo" dx="16" fmlaLink="$E$3" fmlaRange="'Electicity &amp; Diesel'!$L$4:$L$12" sel="3" val="0"/>
</file>

<file path=xl/ctrlProps/ctrlProp2.xml><?xml version="1.0" encoding="utf-8"?>
<formControlPr xmlns="http://schemas.microsoft.com/office/spreadsheetml/2009/9/main" objectType="Drop" dropLines="85" dropStyle="combo" dx="16" fmlaLink="$E$5" fmlaRange="'Nitrous oxide MMS'!$C$67:$C$70" sel="1" val="0"/>
</file>

<file path=xl/ctrlProps/ctrlProp3.xml><?xml version="1.0" encoding="utf-8"?>
<formControlPr xmlns="http://schemas.microsoft.com/office/spreadsheetml/2009/9/main" objectType="Drop" dropLines="85" dropStyle="combo" dx="16" fmlaLink="$D$83" fmlaRange="'Electicity &amp; Diesel'!$L$16:$L$17" sel="1" val="0"/>
</file>

<file path=xl/ctrlProps/ctrlProp4.xml><?xml version="1.0" encoding="utf-8"?>
<formControlPr xmlns="http://schemas.microsoft.com/office/spreadsheetml/2009/9/main" objectType="Drop" dropLines="85" dropStyle="combo" dx="16" fmlaLink="$D$92" fmlaRange="Transport!$D$7:$D$9" sel="1" val="0"/>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 Id="rId5" Type="http://schemas.openxmlformats.org/officeDocument/2006/relationships/image" Target="../media/image3.png"/><Relationship Id="rId4"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4</xdr:col>
      <xdr:colOff>101600</xdr:colOff>
      <xdr:row>31</xdr:row>
      <xdr:rowOff>1612900</xdr:rowOff>
    </xdr:from>
    <xdr:to>
      <xdr:col>4</xdr:col>
      <xdr:colOff>1003300</xdr:colOff>
      <xdr:row>31</xdr:row>
      <xdr:rowOff>2476500</xdr:rowOff>
    </xdr:to>
    <xdr:pic>
      <xdr:nvPicPr>
        <xdr:cNvPr id="4286" name="Picture 33" descr="MINCMY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6500" y="7950200"/>
          <a:ext cx="901700" cy="863600"/>
        </a:xfrm>
        <a:prstGeom prst="rect">
          <a:avLst/>
        </a:prstGeom>
        <a:noFill/>
        <a:ln w="9525">
          <a:solidFill>
            <a:srgbClr val="000000"/>
          </a:solidFill>
          <a:miter lim="800000"/>
          <a:headEnd/>
          <a:tailEnd/>
        </a:ln>
        <a:extLst>
          <a:ext uri="{909E8E84-426E-40dd-AFC4-6F175D3DCCD1}">
            <a14:hiddenFill xmlns:a14="http://schemas.microsoft.com/office/drawing/2010/main" xmlns="">
              <a:solidFill>
                <a:srgbClr val="FFFFFF"/>
              </a:solidFill>
            </a14:hiddenFill>
          </a:ext>
        </a:extLst>
      </xdr:spPr>
    </xdr:pic>
    <xdr:clientData/>
  </xdr:twoCellAnchor>
  <xdr:twoCellAnchor>
    <xdr:from>
      <xdr:col>1</xdr:col>
      <xdr:colOff>173990</xdr:colOff>
      <xdr:row>32</xdr:row>
      <xdr:rowOff>118800</xdr:rowOff>
    </xdr:from>
    <xdr:to>
      <xdr:col>4</xdr:col>
      <xdr:colOff>1061099</xdr:colOff>
      <xdr:row>32</xdr:row>
      <xdr:rowOff>874668</xdr:rowOff>
    </xdr:to>
    <xdr:sp macro="" textlink="">
      <xdr:nvSpPr>
        <xdr:cNvPr id="4138" name="AutoShape 42"/>
        <xdr:cNvSpPr>
          <a:spLocks noChangeArrowheads="1"/>
        </xdr:cNvSpPr>
      </xdr:nvSpPr>
      <xdr:spPr bwMode="auto">
        <a:xfrm>
          <a:off x="275590" y="6075100"/>
          <a:ext cx="5700409" cy="755868"/>
        </a:xfrm>
        <a:prstGeom prst="roundRect">
          <a:avLst>
            <a:gd name="adj" fmla="val 16667"/>
          </a:avLst>
        </a:prstGeom>
        <a:solidFill>
          <a:srgbClr val="FFFF00"/>
        </a:solidFill>
        <a:ln w="9525">
          <a:solidFill>
            <a:srgbClr val="000000"/>
          </a:solidFill>
          <a:round/>
          <a:headEnd/>
          <a:tailEnd/>
        </a:ln>
      </xdr:spPr>
      <xdr:txBody>
        <a:bodyPr vertOverflow="clip" wrap="square" lIns="27432" tIns="22860" rIns="0" bIns="0" anchor="t" upright="1"/>
        <a:lstStyle/>
        <a:p>
          <a:pPr algn="ctr" rtl="0">
            <a:defRPr sz="1000"/>
          </a:pPr>
          <a:r>
            <a:rPr lang="en-AU" sz="1100" b="0" i="0" strike="noStrike">
              <a:solidFill>
                <a:srgbClr val="000000"/>
              </a:solidFill>
              <a:latin typeface="Times New Roman" pitchFamily="18" charset="0"/>
              <a:cs typeface="Times New Roman" pitchFamily="18" charset="0"/>
            </a:rPr>
            <a:t>Richard Eckard, Roger Hegarty and Geoff Thomas (2008). Dairy</a:t>
          </a:r>
          <a:r>
            <a:rPr lang="en-AU" sz="1100" b="0" i="0" strike="noStrike" baseline="0">
              <a:solidFill>
                <a:srgbClr val="000000"/>
              </a:solidFill>
              <a:latin typeface="Times New Roman" pitchFamily="18" charset="0"/>
              <a:cs typeface="Times New Roman" pitchFamily="18" charset="0"/>
            </a:rPr>
            <a:t> Greenhouse Accounting Framework. P</a:t>
          </a:r>
          <a:r>
            <a:rPr lang="en-AU" sz="1100" b="0" i="0" strike="noStrike">
              <a:solidFill>
                <a:srgbClr val="000000"/>
              </a:solidFill>
              <a:latin typeface="Times New Roman" pitchFamily="18" charset="0"/>
              <a:cs typeface="Times New Roman" pitchFamily="18" charset="0"/>
            </a:rPr>
            <a:t>roject no: UM10778</a:t>
          </a:r>
          <a:r>
            <a:rPr lang="en-AU" sz="1100" b="0" i="0" strike="noStrike" baseline="0">
              <a:solidFill>
                <a:srgbClr val="000000"/>
              </a:solidFill>
              <a:latin typeface="Times New Roman" pitchFamily="18" charset="0"/>
              <a:cs typeface="Times New Roman" pitchFamily="18" charset="0"/>
            </a:rPr>
            <a:t> </a:t>
          </a:r>
          <a:r>
            <a:rPr lang="en-AU" sz="1100" b="0" i="0" strike="noStrike">
              <a:solidFill>
                <a:srgbClr val="000000"/>
              </a:solidFill>
              <a:latin typeface="Times New Roman" pitchFamily="18" charset="0"/>
              <a:cs typeface="Times New Roman" pitchFamily="18" charset="0"/>
            </a:rPr>
            <a:t>- </a:t>
          </a:r>
        </a:p>
        <a:p>
          <a:pPr algn="ctr" rtl="0">
            <a:lnSpc>
              <a:spcPts val="1300"/>
            </a:lnSpc>
            <a:defRPr sz="1000"/>
          </a:pPr>
          <a:r>
            <a:rPr lang="en-AU" sz="1100" b="1" i="0" strike="noStrike">
              <a:solidFill>
                <a:srgbClr val="000000"/>
              </a:solidFill>
              <a:latin typeface="Times New Roman" pitchFamily="18" charset="0"/>
              <a:cs typeface="Times New Roman" pitchFamily="18" charset="0"/>
            </a:rPr>
            <a:t>Updated</a:t>
          </a:r>
          <a:r>
            <a:rPr lang="en-AU" sz="1100" b="0" i="0" strike="noStrike">
              <a:solidFill>
                <a:srgbClr val="000000"/>
              </a:solidFill>
              <a:latin typeface="Times New Roman" pitchFamily="18" charset="0"/>
              <a:cs typeface="Times New Roman" pitchFamily="18" charset="0"/>
            </a:rPr>
            <a:t> by Chris Taylorand Richard Eckard in</a:t>
          </a:r>
          <a:r>
            <a:rPr lang="en-AU" sz="1100" b="1" i="0" strike="noStrike">
              <a:solidFill>
                <a:srgbClr val="000000"/>
              </a:solidFill>
              <a:latin typeface="Times New Roman" pitchFamily="18" charset="0"/>
              <a:cs typeface="Times New Roman" pitchFamily="18" charset="0"/>
            </a:rPr>
            <a:t> November 2015</a:t>
          </a:r>
        </a:p>
        <a:p>
          <a:pPr algn="ctr" rtl="0">
            <a:lnSpc>
              <a:spcPts val="1300"/>
            </a:lnSpc>
            <a:defRPr sz="1000"/>
          </a:pPr>
          <a:r>
            <a:rPr lang="en-AU" sz="1100" b="0" i="0" baseline="0">
              <a:latin typeface="Times New Roman" pitchFamily="18" charset="0"/>
              <a:ea typeface="+mn-ea"/>
              <a:cs typeface="Times New Roman" pitchFamily="18" charset="0"/>
            </a:rPr>
            <a:t>http://www.greenhouse.unimelb.edu.au/Tools.htm</a:t>
          </a:r>
          <a:endParaRPr lang="en-AU" sz="1100" b="0" i="0" strike="noStrike">
            <a:solidFill>
              <a:srgbClr val="000000"/>
            </a:solidFill>
            <a:latin typeface="Times New Roman" pitchFamily="18" charset="0"/>
            <a:cs typeface="Times New Roman" pitchFamily="18" charset="0"/>
          </a:endParaRPr>
        </a:p>
      </xdr:txBody>
    </xdr:sp>
    <xdr:clientData/>
  </xdr:twoCellAnchor>
  <xdr:twoCellAnchor>
    <xdr:from>
      <xdr:col>1</xdr:col>
      <xdr:colOff>114300</xdr:colOff>
      <xdr:row>31</xdr:row>
      <xdr:rowOff>1638300</xdr:rowOff>
    </xdr:from>
    <xdr:to>
      <xdr:col>4</xdr:col>
      <xdr:colOff>7634</xdr:colOff>
      <xdr:row>31</xdr:row>
      <xdr:rowOff>2400518</xdr:rowOff>
    </xdr:to>
    <xdr:sp macro="" textlink="">
      <xdr:nvSpPr>
        <xdr:cNvPr id="6" name="AutoShape 42"/>
        <xdr:cNvSpPr>
          <a:spLocks noChangeArrowheads="1"/>
        </xdr:cNvSpPr>
      </xdr:nvSpPr>
      <xdr:spPr bwMode="auto">
        <a:xfrm>
          <a:off x="215900" y="7975600"/>
          <a:ext cx="4706634" cy="762218"/>
        </a:xfrm>
        <a:prstGeom prst="roundRect">
          <a:avLst>
            <a:gd name="adj" fmla="val 16667"/>
          </a:avLst>
        </a:prstGeom>
        <a:solidFill>
          <a:srgbClr val="FFFF00"/>
        </a:solidFill>
        <a:ln w="9525">
          <a:solidFill>
            <a:srgbClr val="000000"/>
          </a:solidFill>
          <a:round/>
          <a:headEnd/>
          <a:tailEnd/>
        </a:ln>
      </xdr:spPr>
      <xdr:txBody>
        <a:bodyPr vertOverflow="clip" wrap="square" lIns="27432" tIns="22860" rIns="0" bIns="0" anchor="t" upright="1"/>
        <a:lstStyle/>
        <a:p>
          <a:pPr algn="ctr" rtl="0">
            <a:defRPr sz="1000"/>
          </a:pPr>
          <a:r>
            <a:rPr lang="en-AU" sz="1100" b="0" i="0" strike="noStrike">
              <a:solidFill>
                <a:srgbClr val="000000"/>
              </a:solidFill>
              <a:latin typeface="Times New Roman" pitchFamily="18" charset="0"/>
              <a:cs typeface="Times New Roman" pitchFamily="18" charset="0"/>
            </a:rPr>
            <a:t>Richard Eckard, Roger Hegarty and Geoff Thomas (2008). Dairy</a:t>
          </a:r>
          <a:r>
            <a:rPr lang="en-AU" sz="1100" b="0" i="0" strike="noStrike" baseline="0">
              <a:solidFill>
                <a:srgbClr val="000000"/>
              </a:solidFill>
              <a:latin typeface="Times New Roman" pitchFamily="18" charset="0"/>
              <a:cs typeface="Times New Roman" pitchFamily="18" charset="0"/>
            </a:rPr>
            <a:t> Greenhouse Accounting Framework. P</a:t>
          </a:r>
          <a:r>
            <a:rPr lang="en-AU" sz="1100" b="0" i="0" strike="noStrike">
              <a:solidFill>
                <a:srgbClr val="000000"/>
              </a:solidFill>
              <a:latin typeface="Times New Roman" pitchFamily="18" charset="0"/>
              <a:cs typeface="Times New Roman" pitchFamily="18" charset="0"/>
            </a:rPr>
            <a:t>roject no: UM10778</a:t>
          </a:r>
          <a:r>
            <a:rPr lang="en-AU" sz="1100" b="0" i="0" strike="noStrike" baseline="0">
              <a:solidFill>
                <a:srgbClr val="000000"/>
              </a:solidFill>
              <a:latin typeface="Times New Roman" pitchFamily="18" charset="0"/>
              <a:cs typeface="Times New Roman" pitchFamily="18" charset="0"/>
            </a:rPr>
            <a:t> </a:t>
          </a:r>
          <a:r>
            <a:rPr lang="en-AU" sz="1100" b="0" i="0" strike="noStrike">
              <a:solidFill>
                <a:srgbClr val="000000"/>
              </a:solidFill>
              <a:latin typeface="Times New Roman" pitchFamily="18" charset="0"/>
              <a:cs typeface="Times New Roman" pitchFamily="18" charset="0"/>
            </a:rPr>
            <a:t>- </a:t>
          </a:r>
        </a:p>
        <a:p>
          <a:pPr algn="ctr" rtl="0">
            <a:lnSpc>
              <a:spcPts val="1300"/>
            </a:lnSpc>
            <a:defRPr sz="1000"/>
          </a:pPr>
          <a:r>
            <a:rPr lang="en-AU" sz="1100" b="1" i="0" strike="noStrike">
              <a:solidFill>
                <a:srgbClr val="000000"/>
              </a:solidFill>
              <a:latin typeface="Times New Roman" pitchFamily="18" charset="0"/>
              <a:cs typeface="Times New Roman" pitchFamily="18" charset="0"/>
            </a:rPr>
            <a:t>Updated</a:t>
          </a:r>
          <a:r>
            <a:rPr lang="en-AU" sz="1100" b="0" i="0" strike="noStrike">
              <a:solidFill>
                <a:srgbClr val="000000"/>
              </a:solidFill>
              <a:latin typeface="Times New Roman" pitchFamily="18" charset="0"/>
              <a:cs typeface="Times New Roman" pitchFamily="18" charset="0"/>
            </a:rPr>
            <a:t> by Chris Taylor and Richard Eckard in</a:t>
          </a:r>
          <a:r>
            <a:rPr lang="en-AU" sz="1100" b="1" i="0" strike="noStrike">
              <a:solidFill>
                <a:srgbClr val="000000"/>
              </a:solidFill>
              <a:latin typeface="Times New Roman" pitchFamily="18" charset="0"/>
              <a:cs typeface="Times New Roman" pitchFamily="18" charset="0"/>
            </a:rPr>
            <a:t> June 2016</a:t>
          </a:r>
        </a:p>
        <a:p>
          <a:pPr algn="ctr" rtl="0">
            <a:lnSpc>
              <a:spcPts val="1300"/>
            </a:lnSpc>
            <a:defRPr sz="1000"/>
          </a:pPr>
          <a:r>
            <a:rPr lang="en-AU" sz="1100" b="0" i="0" baseline="0">
              <a:latin typeface="Times New Roman" pitchFamily="18" charset="0"/>
              <a:ea typeface="+mn-ea"/>
              <a:cs typeface="Times New Roman" pitchFamily="18" charset="0"/>
            </a:rPr>
            <a:t>http://www.greenhouse.unimelb.edu.au/Tools.htm</a:t>
          </a:r>
          <a:endParaRPr lang="en-AU" sz="1100" b="0" i="0" strike="noStrike">
            <a:solidFill>
              <a:srgbClr val="000000"/>
            </a:solidFill>
            <a:latin typeface="Times New Roman" pitchFamily="18" charset="0"/>
            <a:cs typeface="Times New Roman" pitchFamily="18" charset="0"/>
          </a:endParaRPr>
        </a:p>
      </xdr:txBody>
    </xdr:sp>
    <xdr:clientData/>
  </xdr:twoCellAnchor>
  <xdr:twoCellAnchor>
    <xdr:from>
      <xdr:col>12</xdr:col>
      <xdr:colOff>101600</xdr:colOff>
      <xdr:row>6</xdr:row>
      <xdr:rowOff>107950</xdr:rowOff>
    </xdr:from>
    <xdr:to>
      <xdr:col>14</xdr:col>
      <xdr:colOff>50800</xdr:colOff>
      <xdr:row>16</xdr:row>
      <xdr:rowOff>12700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687917</xdr:colOff>
      <xdr:row>22</xdr:row>
      <xdr:rowOff>59267</xdr:rowOff>
    </xdr:from>
    <xdr:to>
      <xdr:col>14</xdr:col>
      <xdr:colOff>154517</xdr:colOff>
      <xdr:row>31</xdr:row>
      <xdr:rowOff>2408767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76200</xdr:colOff>
      <xdr:row>22</xdr:row>
      <xdr:rowOff>95250</xdr:rowOff>
    </xdr:from>
    <xdr:ext cx="5153026" cy="809625"/>
    <xdr:sp macro="" textlink="">
      <xdr:nvSpPr>
        <xdr:cNvPr id="7" name="AutoShape 42"/>
        <xdr:cNvSpPr/>
      </xdr:nvSpPr>
      <xdr:spPr>
        <a:xfrm flipH="1">
          <a:off x="76200" y="4791075"/>
          <a:ext cx="5153026" cy="809625"/>
        </a:xfrm>
        <a:custGeom>
          <a:avLst>
            <a:gd name="f0" fmla="val 3600"/>
          </a:avLst>
          <a:gdLst>
            <a:gd name="f1" fmla="val 10800000"/>
            <a:gd name="f2" fmla="val 5400000"/>
            <a:gd name="f3" fmla="val 16200000"/>
            <a:gd name="f4" fmla="val w"/>
            <a:gd name="f5" fmla="val h"/>
            <a:gd name="f6" fmla="val ss"/>
            <a:gd name="f7" fmla="val 0"/>
            <a:gd name="f8" fmla="*/ 5419351 1 1725033"/>
            <a:gd name="f9" fmla="val 45"/>
            <a:gd name="f10" fmla="val 10800"/>
            <a:gd name="f11" fmla="val -2147483647"/>
            <a:gd name="f12" fmla="val 2147483647"/>
            <a:gd name="f13" fmla="abs f4"/>
            <a:gd name="f14" fmla="abs f5"/>
            <a:gd name="f15" fmla="abs f6"/>
            <a:gd name="f16" fmla="*/ f8 1 180"/>
            <a:gd name="f17" fmla="pin 0 f0 10800"/>
            <a:gd name="f18" fmla="+- 0 0 f2"/>
            <a:gd name="f19" fmla="?: f13 f4 1"/>
            <a:gd name="f20" fmla="?: f14 f5 1"/>
            <a:gd name="f21" fmla="?: f15 f6 1"/>
            <a:gd name="f22" fmla="*/ f9 f16 1"/>
            <a:gd name="f23" fmla="+- f7 f17 0"/>
            <a:gd name="f24" fmla="*/ f19 1 21600"/>
            <a:gd name="f25" fmla="*/ f20 1 21600"/>
            <a:gd name="f26" fmla="*/ 21600 f19 1"/>
            <a:gd name="f27" fmla="*/ 21600 f20 1"/>
            <a:gd name="f28" fmla="+- 0 0 f22"/>
            <a:gd name="f29" fmla="min f25 f24"/>
            <a:gd name="f30" fmla="*/ f26 1 f21"/>
            <a:gd name="f31" fmla="*/ f27 1 f21"/>
            <a:gd name="f32" fmla="*/ f28 f1 1"/>
            <a:gd name="f33" fmla="*/ f32 1 f8"/>
            <a:gd name="f34" fmla="+- f31 0 f17"/>
            <a:gd name="f35" fmla="+- f30 0 f17"/>
            <a:gd name="f36" fmla="*/ f17 f29 1"/>
            <a:gd name="f37" fmla="*/ f7 f29 1"/>
            <a:gd name="f38" fmla="*/ f23 f29 1"/>
            <a:gd name="f39" fmla="*/ f31 f29 1"/>
            <a:gd name="f40" fmla="*/ f30 f29 1"/>
            <a:gd name="f41" fmla="+- f33 0 f2"/>
            <a:gd name="f42" fmla="+- f37 0 f38"/>
            <a:gd name="f43" fmla="+- f38 0 f37"/>
            <a:gd name="f44" fmla="*/ f34 f29 1"/>
            <a:gd name="f45" fmla="*/ f35 f29 1"/>
            <a:gd name="f46" fmla="cos 1 f41"/>
            <a:gd name="f47" fmla="abs f42"/>
            <a:gd name="f48" fmla="abs f43"/>
            <a:gd name="f49" fmla="?: f42 f18 f2"/>
            <a:gd name="f50" fmla="?: f42 f2 f18"/>
            <a:gd name="f51" fmla="?: f42 f3 f2"/>
            <a:gd name="f52" fmla="?: f42 f2 f3"/>
            <a:gd name="f53" fmla="+- f39 0 f44"/>
            <a:gd name="f54" fmla="?: f43 f18 f2"/>
            <a:gd name="f55" fmla="?: f43 f2 f18"/>
            <a:gd name="f56" fmla="+- f40 0 f45"/>
            <a:gd name="f57" fmla="+- f44 0 f39"/>
            <a:gd name="f58" fmla="+- f45 0 f40"/>
            <a:gd name="f59" fmla="?: f42 0 f1"/>
            <a:gd name="f60" fmla="?: f42 f1 0"/>
            <a:gd name="f61" fmla="+- 0 0 f46"/>
            <a:gd name="f62" fmla="?: f42 f52 f51"/>
            <a:gd name="f63" fmla="?: f42 f51 f52"/>
            <a:gd name="f64" fmla="?: f43 f50 f49"/>
            <a:gd name="f65" fmla="abs f53"/>
            <a:gd name="f66" fmla="?: f53 0 f1"/>
            <a:gd name="f67" fmla="?: f53 f1 0"/>
            <a:gd name="f68" fmla="?: f53 f54 f55"/>
            <a:gd name="f69" fmla="abs f56"/>
            <a:gd name="f70" fmla="abs f57"/>
            <a:gd name="f71" fmla="?: f56 f18 f2"/>
            <a:gd name="f72" fmla="?: f56 f2 f18"/>
            <a:gd name="f73" fmla="?: f56 f3 f2"/>
            <a:gd name="f74" fmla="?: f56 f2 f3"/>
            <a:gd name="f75" fmla="abs f58"/>
            <a:gd name="f76" fmla="?: f58 f18 f2"/>
            <a:gd name="f77" fmla="?: f58 f2 f18"/>
            <a:gd name="f78" fmla="?: f58 f60 f59"/>
            <a:gd name="f79" fmla="?: f58 f59 f60"/>
            <a:gd name="f80" fmla="*/ f17 f61 1"/>
            <a:gd name="f81" fmla="?: f43 f63 f62"/>
            <a:gd name="f82" fmla="?: f43 f67 f66"/>
            <a:gd name="f83" fmla="?: f43 f66 f67"/>
            <a:gd name="f84" fmla="?: f56 f74 f73"/>
            <a:gd name="f85" fmla="?: f56 f73 f74"/>
            <a:gd name="f86" fmla="?: f57 f72 f71"/>
            <a:gd name="f87" fmla="?: f42 f78 f79"/>
            <a:gd name="f88" fmla="?: f42 f76 f77"/>
            <a:gd name="f89" fmla="*/ f80 3163 1"/>
            <a:gd name="f90" fmla="?: f53 f82 f83"/>
            <a:gd name="f91" fmla="?: f57 f85 f84"/>
            <a:gd name="f92" fmla="*/ f89 1 7636"/>
            <a:gd name="f93" fmla="+- f7 f92 0"/>
            <a:gd name="f94" fmla="+- f30 0 f92"/>
            <a:gd name="f95" fmla="+- f31 0 f92"/>
            <a:gd name="f96" fmla="*/ f93 f29 1"/>
            <a:gd name="f97" fmla="*/ f94 f29 1"/>
            <a:gd name="f98" fmla="*/ f95 f29 1"/>
          </a:gdLst>
          <a:ahLst>
            <a:ahXY gdRefX="f0" minX="f7" maxX="f10">
              <a:pos x="f36" y="f37"/>
            </a:ahXY>
          </a:ahLst>
          <a:cxnLst>
            <a:cxn ang="3cd4">
              <a:pos x="hc" y="t"/>
            </a:cxn>
            <a:cxn ang="0">
              <a:pos x="r" y="vc"/>
            </a:cxn>
            <a:cxn ang="cd4">
              <a:pos x="hc" y="b"/>
            </a:cxn>
            <a:cxn ang="cd2">
              <a:pos x="l" y="vc"/>
            </a:cxn>
          </a:cxnLst>
          <a:rect l="f96" t="f96" r="f97" b="f98"/>
          <a:pathLst>
            <a:path>
              <a:moveTo>
                <a:pt x="f38" y="f37"/>
              </a:moveTo>
              <a:arcTo wR="f47" hR="f48" stAng="f81" swAng="f64"/>
              <a:lnTo>
                <a:pt x="f37" y="f44"/>
              </a:lnTo>
              <a:arcTo wR="f48" hR="f65" stAng="f90" swAng="f68"/>
              <a:lnTo>
                <a:pt x="f45" y="f39"/>
              </a:lnTo>
              <a:arcTo wR="f69" hR="f70" stAng="f91" swAng="f86"/>
              <a:lnTo>
                <a:pt x="f40" y="f38"/>
              </a:lnTo>
              <a:arcTo wR="f75" hR="f47" stAng="f87" swAng="f88"/>
              <a:close/>
            </a:path>
          </a:pathLst>
        </a:custGeom>
        <a:ln/>
        <a:effectLst>
          <a:innerShdw blurRad="63500" dist="50800" dir="2700000">
            <a:prstClr val="black">
              <a:alpha val="50000"/>
            </a:prstClr>
          </a:innerShdw>
        </a:effectLst>
      </xdr:spPr>
      <xdr:style>
        <a:lnRef idx="1">
          <a:schemeClr val="accent4"/>
        </a:lnRef>
        <a:fillRef idx="2">
          <a:schemeClr val="accent4"/>
        </a:fillRef>
        <a:effectRef idx="1">
          <a:schemeClr val="accent4"/>
        </a:effectRef>
        <a:fontRef idx="minor">
          <a:schemeClr val="dk1"/>
        </a:fontRef>
      </xdr:style>
      <xdr:txBody>
        <a:bodyPr vert="horz" wrap="square" lIns="27432" tIns="22860" rIns="0" bIns="0" anchor="t" anchorCtr="1" compatLnSpc="0"/>
        <a:lstStyle/>
        <a:p>
          <a:pPr marL="0" marR="0" lvl="0" indent="0" algn="l"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en-AU" sz="1200" b="0" i="0" u="none" strike="noStrike" kern="0" cap="none" spc="0" baseline="0">
              <a:solidFill>
                <a:srgbClr val="000000"/>
              </a:solidFill>
              <a:uFillTx/>
              <a:latin typeface="Times New Roman" pitchFamily="18"/>
              <a:cs typeface="Times New Roman" pitchFamily="18"/>
            </a:rPr>
            <a:t>Citation: </a:t>
          </a:r>
        </a:p>
        <a:p>
          <a:r>
            <a:rPr lang="en-AU" sz="1100">
              <a:solidFill>
                <a:schemeClr val="dk1"/>
              </a:solidFill>
              <a:effectLst/>
              <a:latin typeface="+mn-lt"/>
              <a:ea typeface="+mn-ea"/>
              <a:cs typeface="+mn-cs"/>
            </a:rPr>
            <a:t>Eckard R.J., C. Taylor (2016). A </a:t>
          </a:r>
          <a:r>
            <a:rPr lang="en-AU" sz="1100" b="1">
              <a:solidFill>
                <a:schemeClr val="dk1"/>
              </a:solidFill>
              <a:effectLst/>
              <a:latin typeface="+mn-lt"/>
              <a:ea typeface="+mn-ea"/>
              <a:cs typeface="+mn-cs"/>
            </a:rPr>
            <a:t>G</a:t>
          </a:r>
          <a:r>
            <a:rPr lang="en-AU" sz="1100">
              <a:solidFill>
                <a:schemeClr val="dk1"/>
              </a:solidFill>
              <a:effectLst/>
              <a:latin typeface="+mn-lt"/>
              <a:ea typeface="+mn-ea"/>
              <a:cs typeface="+mn-cs"/>
            </a:rPr>
            <a:t>reenhouse </a:t>
          </a:r>
          <a:r>
            <a:rPr lang="en-AU" sz="1100" b="1">
              <a:solidFill>
                <a:schemeClr val="dk1"/>
              </a:solidFill>
              <a:effectLst/>
              <a:latin typeface="+mn-lt"/>
              <a:ea typeface="+mn-ea"/>
              <a:cs typeface="+mn-cs"/>
            </a:rPr>
            <a:t>A</a:t>
          </a:r>
          <a:r>
            <a:rPr lang="en-AU" sz="1100">
              <a:solidFill>
                <a:schemeClr val="dk1"/>
              </a:solidFill>
              <a:effectLst/>
              <a:latin typeface="+mn-lt"/>
              <a:ea typeface="+mn-ea"/>
              <a:cs typeface="+mn-cs"/>
            </a:rPr>
            <a:t>ccounting </a:t>
          </a:r>
          <a:r>
            <a:rPr lang="en-AU" sz="1100" b="1">
              <a:solidFill>
                <a:schemeClr val="dk1"/>
              </a:solidFill>
              <a:effectLst/>
              <a:latin typeface="+mn-lt"/>
              <a:ea typeface="+mn-ea"/>
              <a:cs typeface="+mn-cs"/>
            </a:rPr>
            <a:t>F</a:t>
          </a:r>
          <a:r>
            <a:rPr lang="en-AU" sz="1100">
              <a:solidFill>
                <a:schemeClr val="dk1"/>
              </a:solidFill>
              <a:effectLst/>
              <a:latin typeface="+mn-lt"/>
              <a:ea typeface="+mn-ea"/>
              <a:cs typeface="+mn-cs"/>
            </a:rPr>
            <a:t>ramework for </a:t>
          </a:r>
          <a:r>
            <a:rPr lang="en-AU" sz="1100" b="1">
              <a:solidFill>
                <a:schemeClr val="dk1"/>
              </a:solidFill>
              <a:effectLst/>
              <a:latin typeface="+mn-lt"/>
              <a:ea typeface="+mn-ea"/>
              <a:cs typeface="+mn-cs"/>
            </a:rPr>
            <a:t>D</a:t>
          </a:r>
          <a:r>
            <a:rPr lang="en-AU" sz="1100">
              <a:solidFill>
                <a:schemeClr val="dk1"/>
              </a:solidFill>
              <a:effectLst/>
              <a:latin typeface="+mn-lt"/>
              <a:ea typeface="+mn-ea"/>
              <a:cs typeface="+mn-cs"/>
            </a:rPr>
            <a:t>airy properties (D-GAF) based on the Australian National Greenhouse Gas Inventory methodology. Updated July 2016 http://www.greenhouse.unimelb.edu.au/Tools.htm</a:t>
          </a:r>
        </a:p>
      </xdr:txBody>
    </xdr:sp>
    <xdr:clientData/>
  </xdr:oneCellAnchor>
  <xdr:twoCellAnchor editAs="oneCell">
    <xdr:from>
      <xdr:col>5</xdr:col>
      <xdr:colOff>0</xdr:colOff>
      <xdr:row>22</xdr:row>
      <xdr:rowOff>104775</xdr:rowOff>
    </xdr:from>
    <xdr:to>
      <xdr:col>5</xdr:col>
      <xdr:colOff>923926</xdr:colOff>
      <xdr:row>27</xdr:row>
      <xdr:rowOff>76200</xdr:rowOff>
    </xdr:to>
    <xdr:pic>
      <xdr:nvPicPr>
        <xdr:cNvPr id="8" name="Picture 7"/>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0152" t="10077" r="14106" b="10077"/>
        <a:stretch/>
      </xdr:blipFill>
      <xdr:spPr>
        <a:xfrm>
          <a:off x="5276850" y="4800600"/>
          <a:ext cx="923926" cy="981075"/>
        </a:xfrm>
        <a:prstGeom prst="rect">
          <a:avLst/>
        </a:prstGeom>
      </xdr:spPr>
    </xdr:pic>
    <xdr:clientData/>
  </xdr:twoCellAnchor>
  <xdr:twoCellAnchor editAs="oneCell">
    <xdr:from>
      <xdr:col>5</xdr:col>
      <xdr:colOff>1028700</xdr:colOff>
      <xdr:row>22</xdr:row>
      <xdr:rowOff>85725</xdr:rowOff>
    </xdr:from>
    <xdr:to>
      <xdr:col>8</xdr:col>
      <xdr:colOff>488633</xdr:colOff>
      <xdr:row>27</xdr:row>
      <xdr:rowOff>47625</xdr:rowOff>
    </xdr:to>
    <xdr:pic>
      <xdr:nvPicPr>
        <xdr:cNvPr id="9" name="Picture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305550" y="4781550"/>
          <a:ext cx="2088833" cy="971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714375</xdr:colOff>
          <xdr:row>2</xdr:row>
          <xdr:rowOff>0</xdr:rowOff>
        </xdr:from>
        <xdr:to>
          <xdr:col>5</xdr:col>
          <xdr:colOff>66675</xdr:colOff>
          <xdr:row>3</xdr:row>
          <xdr:rowOff>38100</xdr:rowOff>
        </xdr:to>
        <xdr:sp macro="" textlink="">
          <xdr:nvSpPr>
            <xdr:cNvPr id="543800" name="Drop Down 56" hidden="1">
              <a:extLst>
                <a:ext uri="{63B3BB69-23CF-44E3-9099-C40C66FF867C}">
                  <a14:compatExt spid="_x0000_s5438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180975</xdr:rowOff>
        </xdr:from>
        <xdr:to>
          <xdr:col>4</xdr:col>
          <xdr:colOff>0</xdr:colOff>
          <xdr:row>83</xdr:row>
          <xdr:rowOff>38100</xdr:rowOff>
        </xdr:to>
        <xdr:sp macro="" textlink="">
          <xdr:nvSpPr>
            <xdr:cNvPr id="543811" name="Drop Down 67" hidden="1">
              <a:extLst>
                <a:ext uri="{63B3BB69-23CF-44E3-9099-C40C66FF867C}">
                  <a14:compatExt spid="_x0000_s54381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142875</xdr:rowOff>
        </xdr:from>
        <xdr:to>
          <xdr:col>4</xdr:col>
          <xdr:colOff>28575</xdr:colOff>
          <xdr:row>92</xdr:row>
          <xdr:rowOff>9525</xdr:rowOff>
        </xdr:to>
        <xdr:sp macro="" textlink="">
          <xdr:nvSpPr>
            <xdr:cNvPr id="543816" name="Drop Down 72" hidden="1">
              <a:extLst>
                <a:ext uri="{63B3BB69-23CF-44E3-9099-C40C66FF867C}">
                  <a14:compatExt spid="_x0000_s54381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3</xdr:row>
          <xdr:rowOff>161925</xdr:rowOff>
        </xdr:from>
        <xdr:to>
          <xdr:col>5</xdr:col>
          <xdr:colOff>76200</xdr:colOff>
          <xdr:row>5</xdr:row>
          <xdr:rowOff>0</xdr:rowOff>
        </xdr:to>
        <xdr:sp macro="" textlink="">
          <xdr:nvSpPr>
            <xdr:cNvPr id="543818" name="Drop Down 74" hidden="1">
              <a:extLst>
                <a:ext uri="{63B3BB69-23CF-44E3-9099-C40C66FF867C}">
                  <a14:compatExt spid="_x0000_s54381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7"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Q58"/>
  <sheetViews>
    <sheetView showGridLines="0" tabSelected="1" defaultGridColor="0" topLeftCell="A6" colorId="8" zoomScale="90" zoomScaleNormal="90" workbookViewId="0">
      <selection activeCell="D28" sqref="D28"/>
    </sheetView>
  </sheetViews>
  <sheetFormatPr defaultColWidth="0" defaultRowHeight="12.75" zeroHeight="1" x14ac:dyDescent="0.2"/>
  <cols>
    <col min="1" max="1" width="1.28515625" style="150" customWidth="1"/>
    <col min="2" max="2" width="28.28515625" style="151" customWidth="1"/>
    <col min="3" max="3" width="18" style="151" customWidth="1"/>
    <col min="4" max="4" width="16.85546875" style="151" customWidth="1"/>
    <col min="5" max="5" width="14.7109375" style="151" customWidth="1"/>
    <col min="6" max="6" width="16.140625" style="151" customWidth="1"/>
    <col min="7" max="7" width="12.85546875" style="151" customWidth="1"/>
    <col min="8" max="8" width="10.42578125" style="151" bestFit="1" customWidth="1"/>
    <col min="9" max="9" width="8.42578125" style="151" customWidth="1"/>
    <col min="10" max="10" width="1.85546875" style="151" customWidth="1"/>
    <col min="11" max="11" width="28.140625" style="151" customWidth="1"/>
    <col min="12" max="12" width="12.7109375" style="151" bestFit="1" customWidth="1"/>
    <col min="13" max="14" width="12.28515625" style="151" customWidth="1"/>
    <col min="15" max="15" width="2.85546875" style="151" customWidth="1"/>
    <col min="16" max="16384" width="0" style="151" hidden="1"/>
  </cols>
  <sheetData>
    <row r="1" spans="2:17" s="150" customFormat="1" ht="30.95" customHeight="1" x14ac:dyDescent="0.3">
      <c r="B1" s="619" t="s">
        <v>206</v>
      </c>
      <c r="C1" s="619"/>
      <c r="D1" s="619"/>
      <c r="E1" s="619"/>
      <c r="F1" s="619"/>
      <c r="G1" s="619"/>
      <c r="H1" s="619"/>
    </row>
    <row r="2" spans="2:17" ht="15" x14ac:dyDescent="0.25">
      <c r="B2" s="203" t="s">
        <v>188</v>
      </c>
      <c r="I2" s="152"/>
      <c r="J2" s="152"/>
      <c r="K2" s="152"/>
      <c r="L2" s="152"/>
      <c r="M2" s="152"/>
      <c r="N2" s="152"/>
      <c r="O2" s="150"/>
      <c r="P2" s="150"/>
      <c r="Q2" s="150"/>
    </row>
    <row r="3" spans="2:17" ht="17.25" x14ac:dyDescent="0.3">
      <c r="B3" s="205" t="s">
        <v>36</v>
      </c>
      <c r="C3" s="617" t="str">
        <f>'Data input'!H1</f>
        <v>Dairy Farm</v>
      </c>
      <c r="D3" s="618"/>
      <c r="E3" s="163"/>
      <c r="F3" s="163"/>
      <c r="G3" s="163"/>
      <c r="H3" s="163"/>
      <c r="I3" s="164"/>
      <c r="K3" s="399" t="s">
        <v>34</v>
      </c>
      <c r="L3" s="400" t="s">
        <v>187</v>
      </c>
      <c r="M3" s="405" t="s">
        <v>44</v>
      </c>
      <c r="N3" s="406" t="s">
        <v>187</v>
      </c>
      <c r="P3" s="150"/>
      <c r="Q3" s="150"/>
    </row>
    <row r="4" spans="2:17" ht="18" customHeight="1" x14ac:dyDescent="0.3">
      <c r="B4" s="206" t="s">
        <v>0</v>
      </c>
      <c r="C4" s="567" t="str">
        <f>'Electicity &amp; Diesel'!L13</f>
        <v>Tas</v>
      </c>
      <c r="D4" s="160"/>
      <c r="E4" s="160"/>
      <c r="F4" s="160"/>
      <c r="G4" s="165"/>
      <c r="H4" s="165"/>
      <c r="I4" s="166"/>
      <c r="K4" s="401" t="s">
        <v>806</v>
      </c>
      <c r="L4" s="402">
        <f>'Electicity &amp; Diesel'!C57</f>
        <v>0</v>
      </c>
      <c r="M4" s="407" t="s">
        <v>440</v>
      </c>
      <c r="N4" s="408">
        <f>SUM(L4:L7)</f>
        <v>61.516333333333328</v>
      </c>
      <c r="P4" s="150"/>
      <c r="Q4" s="150"/>
    </row>
    <row r="5" spans="2:17" ht="16.5" x14ac:dyDescent="0.3">
      <c r="B5" s="205" t="s">
        <v>191</v>
      </c>
      <c r="C5" s="398" t="str">
        <f>'Data input'!C96</f>
        <v>Pasture</v>
      </c>
      <c r="D5" s="204" t="str">
        <f>'Data input'!D96</f>
        <v>Anaerobic Lagoon</v>
      </c>
      <c r="E5" s="204" t="str">
        <f>'Data input'!E96</f>
        <v>Sump and Dispersal</v>
      </c>
      <c r="F5" s="204" t="str">
        <f>'Data input'!F96</f>
        <v>Drain to Paddocks</v>
      </c>
      <c r="G5" s="227" t="str">
        <f>'Data input'!G96</f>
        <v>Soild Storage</v>
      </c>
      <c r="H5" s="285"/>
      <c r="I5" s="565"/>
      <c r="K5" s="403" t="s">
        <v>434</v>
      </c>
      <c r="L5" s="404">
        <f>Transport!D30</f>
        <v>0</v>
      </c>
      <c r="M5" s="407" t="s">
        <v>441</v>
      </c>
      <c r="N5" s="408">
        <f>SUM(L8:L11)</f>
        <v>1533.3305485227372</v>
      </c>
      <c r="P5" s="150"/>
      <c r="Q5" s="150"/>
    </row>
    <row r="6" spans="2:17" ht="16.5" x14ac:dyDescent="0.3">
      <c r="B6" s="207" t="s">
        <v>189</v>
      </c>
      <c r="C6" s="170">
        <f>'Data input'!C97</f>
        <v>84.29</v>
      </c>
      <c r="D6" s="170">
        <f>'Data input'!D97</f>
        <v>11.6</v>
      </c>
      <c r="E6" s="170">
        <f>'Data input'!E97</f>
        <v>1.1000000000000001</v>
      </c>
      <c r="F6" s="170">
        <f>'Data input'!F97</f>
        <v>0.55000000000000004</v>
      </c>
      <c r="G6" s="171">
        <f>'Data input'!G97</f>
        <v>2.46</v>
      </c>
      <c r="H6" s="284"/>
      <c r="I6" s="565"/>
      <c r="K6" s="403" t="s">
        <v>804</v>
      </c>
      <c r="L6" s="404">
        <f>Liming!F15</f>
        <v>2.8496666666666663</v>
      </c>
      <c r="M6" s="409" t="s">
        <v>442</v>
      </c>
      <c r="N6" s="410">
        <f>SUM(L12:L20)</f>
        <v>338.91275819210119</v>
      </c>
      <c r="P6" s="150"/>
      <c r="Q6" s="150"/>
    </row>
    <row r="7" spans="2:17" ht="16.5" x14ac:dyDescent="0.3">
      <c r="B7" s="208" t="s">
        <v>190</v>
      </c>
      <c r="C7" s="172">
        <f>'Data input'!C98</f>
        <v>100</v>
      </c>
      <c r="D7" s="172">
        <f>'Data input'!D98</f>
        <v>0</v>
      </c>
      <c r="E7" s="172">
        <f>'Data input'!E98</f>
        <v>0</v>
      </c>
      <c r="F7" s="172">
        <f>'Data input'!F98</f>
        <v>0</v>
      </c>
      <c r="G7" s="173">
        <f>'Data input'!G98</f>
        <v>0</v>
      </c>
      <c r="H7" s="172"/>
      <c r="I7" s="566"/>
      <c r="K7" s="403" t="s">
        <v>805</v>
      </c>
      <c r="L7" s="404">
        <f>'Urea Application'!C22</f>
        <v>58.666666666666664</v>
      </c>
      <c r="M7" s="234"/>
      <c r="N7" s="234"/>
      <c r="O7" s="235"/>
      <c r="P7" s="150"/>
      <c r="Q7" s="150"/>
    </row>
    <row r="8" spans="2:17" ht="16.5" x14ac:dyDescent="0.3">
      <c r="B8" s="209" t="s">
        <v>37</v>
      </c>
      <c r="C8" s="226" t="s">
        <v>23</v>
      </c>
      <c r="D8" s="226" t="s">
        <v>19</v>
      </c>
      <c r="E8" s="226" t="s">
        <v>20</v>
      </c>
      <c r="F8" s="226" t="s">
        <v>2</v>
      </c>
      <c r="G8" s="226" t="s">
        <v>3</v>
      </c>
      <c r="H8" s="236" t="s">
        <v>24</v>
      </c>
      <c r="I8" s="164"/>
      <c r="K8" s="403" t="s">
        <v>435</v>
      </c>
      <c r="L8" s="404">
        <f>'Electicity &amp; Diesel'!C90</f>
        <v>0</v>
      </c>
      <c r="M8" s="234"/>
      <c r="N8" s="234"/>
      <c r="O8" s="235"/>
      <c r="P8" s="150"/>
      <c r="Q8" s="150"/>
    </row>
    <row r="9" spans="2:17" ht="16.5" x14ac:dyDescent="0.3">
      <c r="B9" s="210" t="s">
        <v>27</v>
      </c>
      <c r="C9" s="174">
        <f>'Data input'!D13</f>
        <v>300</v>
      </c>
      <c r="D9" s="174">
        <f>'Data input'!E13</f>
        <v>50</v>
      </c>
      <c r="E9" s="174">
        <f>'Data input'!F13</f>
        <v>50</v>
      </c>
      <c r="F9" s="174">
        <f>'Data input'!G13</f>
        <v>50</v>
      </c>
      <c r="G9" s="174">
        <f>'Data input'!H13</f>
        <v>50</v>
      </c>
      <c r="H9" s="237" t="s">
        <v>106</v>
      </c>
      <c r="I9" s="171"/>
      <c r="K9" s="403" t="s">
        <v>436</v>
      </c>
      <c r="L9" s="404">
        <f>'Enteric fermentation'!L37</f>
        <v>1310.2092936660724</v>
      </c>
      <c r="M9" s="234"/>
      <c r="N9" s="234"/>
      <c r="O9" s="235"/>
      <c r="P9" s="150"/>
      <c r="Q9" s="150"/>
    </row>
    <row r="10" spans="2:17" ht="16.5" x14ac:dyDescent="0.3">
      <c r="B10" s="211" t="s">
        <v>53</v>
      </c>
      <c r="C10" s="167">
        <f>'Data input'!D19</f>
        <v>550</v>
      </c>
      <c r="D10" s="167">
        <f>'Data input'!E19</f>
        <v>370</v>
      </c>
      <c r="E10" s="167">
        <f>'Data input'!F19</f>
        <v>179</v>
      </c>
      <c r="F10" s="167">
        <f>'Data input'!G19</f>
        <v>600</v>
      </c>
      <c r="G10" s="167">
        <f>'Data input'!H19</f>
        <v>225</v>
      </c>
      <c r="H10" s="238" t="s">
        <v>28</v>
      </c>
      <c r="I10" s="166"/>
      <c r="K10" s="403" t="s">
        <v>796</v>
      </c>
      <c r="L10" s="404">
        <f>'Manure management'!L60</f>
        <v>223.12125485666473</v>
      </c>
      <c r="M10" s="234"/>
      <c r="N10" s="234"/>
      <c r="O10" s="235"/>
      <c r="P10" s="150"/>
      <c r="Q10" s="150"/>
    </row>
    <row r="11" spans="2:17" ht="16.5" x14ac:dyDescent="0.3">
      <c r="B11" s="206" t="s">
        <v>8</v>
      </c>
      <c r="C11" s="159">
        <f>'Data input'!D25</f>
        <v>0</v>
      </c>
      <c r="D11" s="159">
        <f>'Data input'!E25</f>
        <v>0.6</v>
      </c>
      <c r="E11" s="159">
        <f>'Data input'!F25</f>
        <v>0.56999999999999995</v>
      </c>
      <c r="F11" s="159">
        <f>'Data input'!G25</f>
        <v>0</v>
      </c>
      <c r="G11" s="159">
        <f>'Data input'!H25</f>
        <v>0.8</v>
      </c>
      <c r="H11" s="238" t="s">
        <v>9</v>
      </c>
      <c r="I11" s="166"/>
      <c r="K11" s="403" t="s">
        <v>437</v>
      </c>
      <c r="L11" s="404">
        <f>Transport!D31</f>
        <v>0</v>
      </c>
      <c r="M11" s="234"/>
      <c r="N11" s="234"/>
      <c r="O11" s="235"/>
      <c r="P11" s="150"/>
      <c r="Q11" s="150"/>
    </row>
    <row r="12" spans="2:17" ht="15.95" customHeight="1" x14ac:dyDescent="0.3">
      <c r="B12" s="206" t="s">
        <v>15</v>
      </c>
      <c r="C12" s="159">
        <f>'Data input'!D31</f>
        <v>20</v>
      </c>
      <c r="D12" s="159">
        <f>'Data input'!E31</f>
        <v>20</v>
      </c>
      <c r="E12" s="159">
        <f>'Data input'!F31</f>
        <v>20</v>
      </c>
      <c r="F12" s="159">
        <f>'Data input'!G31</f>
        <v>20</v>
      </c>
      <c r="G12" s="159">
        <f>'Data input'!H31</f>
        <v>20</v>
      </c>
      <c r="H12" s="238" t="s">
        <v>10</v>
      </c>
      <c r="I12" s="166"/>
      <c r="K12" s="403" t="s">
        <v>793</v>
      </c>
      <c r="L12" s="404">
        <f>'Agricultural soils'!C101</f>
        <v>74.925714285714292</v>
      </c>
      <c r="M12" s="234"/>
      <c r="N12" s="234"/>
      <c r="O12" s="235"/>
      <c r="P12" s="150"/>
      <c r="Q12" s="150"/>
    </row>
    <row r="13" spans="2:17" ht="15" customHeight="1" x14ac:dyDescent="0.3">
      <c r="B13" s="206" t="s">
        <v>54</v>
      </c>
      <c r="C13" s="159">
        <f>'Data input'!D37</f>
        <v>75</v>
      </c>
      <c r="D13" s="159">
        <f>'Data input'!E37</f>
        <v>75</v>
      </c>
      <c r="E13" s="159">
        <f>'Data input'!F37</f>
        <v>75</v>
      </c>
      <c r="F13" s="159">
        <f>'Data input'!G37</f>
        <v>75</v>
      </c>
      <c r="G13" s="159">
        <f>'Data input'!H37</f>
        <v>75</v>
      </c>
      <c r="H13" s="238" t="s">
        <v>10</v>
      </c>
      <c r="I13" s="166"/>
      <c r="J13" s="152"/>
      <c r="K13" s="403" t="s">
        <v>795</v>
      </c>
      <c r="L13" s="404">
        <f>'Nitrous oxide MMS'!L203</f>
        <v>9.6142609738868696</v>
      </c>
      <c r="M13" s="152"/>
      <c r="N13" s="152"/>
      <c r="O13" s="150"/>
      <c r="P13" s="150"/>
      <c r="Q13" s="150"/>
    </row>
    <row r="14" spans="2:17" ht="16.5" x14ac:dyDescent="0.3">
      <c r="B14" s="212" t="s">
        <v>56</v>
      </c>
      <c r="C14" s="161">
        <f>'Data input'!D43</f>
        <v>20</v>
      </c>
      <c r="D14" s="161">
        <f>'Data input'!E43</f>
        <v>0</v>
      </c>
      <c r="E14" s="161">
        <f>'Data input'!F43</f>
        <v>0</v>
      </c>
      <c r="F14" s="161">
        <f>'Data input'!G43</f>
        <v>0</v>
      </c>
      <c r="G14" s="161">
        <f>'Data input'!H43</f>
        <v>0</v>
      </c>
      <c r="H14" s="239" t="s">
        <v>17</v>
      </c>
      <c r="I14" s="173"/>
      <c r="J14" s="152"/>
      <c r="K14" s="403" t="s">
        <v>803</v>
      </c>
      <c r="L14" s="404">
        <f>'Agricultural soils'!D175</f>
        <v>25.386993762072628</v>
      </c>
      <c r="M14" s="152"/>
      <c r="N14" s="152"/>
      <c r="O14" s="150"/>
      <c r="P14" s="150"/>
      <c r="Q14" s="150"/>
    </row>
    <row r="15" spans="2:17" ht="16.5" x14ac:dyDescent="0.3">
      <c r="B15" s="213" t="s">
        <v>46</v>
      </c>
      <c r="C15" s="162">
        <f>'Data input'!D54</f>
        <v>0</v>
      </c>
      <c r="D15" s="162"/>
      <c r="E15" s="162"/>
      <c r="F15" s="162"/>
      <c r="G15" s="162"/>
      <c r="H15" s="240" t="s">
        <v>43</v>
      </c>
      <c r="I15" s="171"/>
      <c r="J15" s="152"/>
      <c r="K15" s="403" t="s">
        <v>802</v>
      </c>
      <c r="L15" s="404">
        <f>'Agricultural soils'!D197</f>
        <v>0</v>
      </c>
      <c r="M15" s="152"/>
      <c r="N15" s="152"/>
      <c r="O15" s="150"/>
      <c r="P15" s="150"/>
      <c r="Q15" s="150"/>
    </row>
    <row r="16" spans="2:17" ht="16.5" x14ac:dyDescent="0.3">
      <c r="B16" s="206" t="s">
        <v>47</v>
      </c>
      <c r="C16" s="165">
        <f>'Data input'!D61</f>
        <v>0</v>
      </c>
      <c r="D16" s="165"/>
      <c r="E16" s="165"/>
      <c r="F16" s="165"/>
      <c r="G16" s="165"/>
      <c r="H16" s="238" t="s">
        <v>43</v>
      </c>
      <c r="I16" s="166"/>
      <c r="J16" s="152"/>
      <c r="K16" s="403" t="s">
        <v>794</v>
      </c>
      <c r="L16" s="404">
        <f>'Agricultural soils'!D223</f>
        <v>85.8118922556108</v>
      </c>
      <c r="M16" s="152"/>
      <c r="N16" s="152"/>
      <c r="O16" s="150"/>
      <c r="P16" s="150"/>
      <c r="Q16" s="150"/>
    </row>
    <row r="17" spans="2:17" ht="16.5" x14ac:dyDescent="0.3">
      <c r="B17" s="206" t="s">
        <v>38</v>
      </c>
      <c r="C17" s="165">
        <f>'Data input'!D46</f>
        <v>0</v>
      </c>
      <c r="D17" s="168"/>
      <c r="E17" s="168"/>
      <c r="F17" s="168"/>
      <c r="G17" s="168"/>
      <c r="H17" s="238" t="s">
        <v>40</v>
      </c>
      <c r="I17" s="166"/>
      <c r="J17" s="152"/>
      <c r="K17" s="403" t="s">
        <v>812</v>
      </c>
      <c r="L17" s="404">
        <f>'Agricultural soils'!D301</f>
        <v>32.026502235268062</v>
      </c>
      <c r="M17" s="152"/>
      <c r="N17" s="152"/>
      <c r="O17" s="150"/>
      <c r="P17" s="150"/>
      <c r="Q17" s="150"/>
    </row>
    <row r="18" spans="2:17" ht="16.5" x14ac:dyDescent="0.3">
      <c r="B18" s="206" t="s">
        <v>39</v>
      </c>
      <c r="C18" s="165">
        <f>'Data input'!D47</f>
        <v>0</v>
      </c>
      <c r="D18" s="168"/>
      <c r="E18" s="168"/>
      <c r="F18" s="168"/>
      <c r="G18" s="168"/>
      <c r="H18" s="238" t="s">
        <v>40</v>
      </c>
      <c r="I18" s="166"/>
      <c r="J18" s="152"/>
      <c r="K18" s="403" t="s">
        <v>813</v>
      </c>
      <c r="L18" s="404">
        <f>'Agricultural soils'!C366</f>
        <v>111.14739467954855</v>
      </c>
      <c r="M18" s="152"/>
      <c r="N18" s="152"/>
      <c r="O18" s="150"/>
      <c r="P18" s="150"/>
      <c r="Q18" s="150"/>
    </row>
    <row r="19" spans="2:17" ht="15" customHeight="1" x14ac:dyDescent="0.3">
      <c r="B19" s="206" t="s">
        <v>31</v>
      </c>
      <c r="C19" s="165">
        <f>'Data input'!D85</f>
        <v>0</v>
      </c>
      <c r="D19" s="168"/>
      <c r="E19" s="165"/>
      <c r="F19" s="169"/>
      <c r="G19" s="169"/>
      <c r="H19" s="238" t="s">
        <v>29</v>
      </c>
      <c r="I19" s="166"/>
      <c r="J19" s="152"/>
      <c r="K19" s="403" t="s">
        <v>438</v>
      </c>
      <c r="L19" s="404">
        <f>'Electicity &amp; Diesel'!C91</f>
        <v>0</v>
      </c>
      <c r="M19" s="152"/>
      <c r="N19" s="152"/>
      <c r="O19" s="150"/>
      <c r="P19" s="150"/>
      <c r="Q19" s="150"/>
    </row>
    <row r="20" spans="2:17" ht="14.25" customHeight="1" x14ac:dyDescent="0.3">
      <c r="B20" s="206" t="s">
        <v>379</v>
      </c>
      <c r="C20" s="165">
        <f>'Data input'!D86</f>
        <v>0</v>
      </c>
      <c r="D20" s="168"/>
      <c r="E20" s="165"/>
      <c r="F20" s="169"/>
      <c r="G20" s="169"/>
      <c r="H20" s="238"/>
      <c r="I20" s="166"/>
      <c r="J20" s="152"/>
      <c r="K20" s="403" t="s">
        <v>439</v>
      </c>
      <c r="L20" s="569">
        <f>Transport!D32</f>
        <v>0</v>
      </c>
      <c r="M20" s="152"/>
      <c r="N20" s="152"/>
      <c r="O20" s="150"/>
      <c r="P20" s="150"/>
      <c r="Q20" s="150"/>
    </row>
    <row r="21" spans="2:17" ht="15.95" customHeight="1" x14ac:dyDescent="0.25">
      <c r="B21" s="212" t="s">
        <v>4</v>
      </c>
      <c r="C21" s="175">
        <f>'Data input'!D87</f>
        <v>0</v>
      </c>
      <c r="D21" s="176"/>
      <c r="E21" s="175"/>
      <c r="F21" s="177"/>
      <c r="G21" s="177"/>
      <c r="H21" s="241" t="s">
        <v>30</v>
      </c>
      <c r="I21" s="173"/>
      <c r="J21" s="152"/>
      <c r="K21" s="403"/>
      <c r="L21" s="569"/>
      <c r="M21" s="152"/>
      <c r="N21" s="152"/>
      <c r="O21" s="150"/>
      <c r="P21" s="150"/>
      <c r="Q21" s="150"/>
    </row>
    <row r="22" spans="2:17" ht="15" customHeight="1" x14ac:dyDescent="0.25">
      <c r="B22" s="205" t="s">
        <v>41</v>
      </c>
      <c r="C22" s="411" t="str">
        <f>'Electicity &amp; Diesel'!D36</f>
        <v>State Grid</v>
      </c>
      <c r="D22" s="163"/>
      <c r="E22" s="163"/>
      <c r="F22" s="163"/>
      <c r="G22" s="163"/>
      <c r="H22" s="163"/>
      <c r="I22" s="164"/>
      <c r="J22" s="152"/>
      <c r="K22" s="399" t="s">
        <v>5</v>
      </c>
      <c r="L22" s="570">
        <f>SUM(L4:L20)</f>
        <v>1933.7596400481716</v>
      </c>
      <c r="M22" s="152"/>
      <c r="N22" s="152"/>
      <c r="O22" s="150"/>
      <c r="P22" s="150"/>
      <c r="Q22" s="150"/>
    </row>
    <row r="23" spans="2:17" ht="17.25" customHeight="1" x14ac:dyDescent="0.25">
      <c r="B23"/>
      <c r="C23"/>
      <c r="D23"/>
      <c r="E23"/>
      <c r="F23"/>
      <c r="G23"/>
      <c r="H23"/>
      <c r="I23"/>
      <c r="J23" s="152"/>
      <c r="K23" s="152"/>
      <c r="L23" s="152"/>
      <c r="M23" s="152"/>
      <c r="N23" s="152"/>
      <c r="O23" s="150"/>
      <c r="P23" s="150"/>
      <c r="Q23" s="150"/>
    </row>
    <row r="24" spans="2:17" ht="15.95" customHeight="1" x14ac:dyDescent="0.25">
      <c r="B24"/>
      <c r="C24"/>
      <c r="D24"/>
      <c r="E24"/>
      <c r="F24"/>
      <c r="G24"/>
      <c r="H24"/>
      <c r="I24"/>
      <c r="J24" s="153"/>
      <c r="K24" s="152"/>
      <c r="L24" s="152"/>
      <c r="M24" s="153"/>
      <c r="N24" s="153"/>
      <c r="O24" s="150"/>
      <c r="P24" s="150"/>
      <c r="Q24" s="150"/>
    </row>
    <row r="25" spans="2:17" ht="16.5" customHeight="1" x14ac:dyDescent="0.25">
      <c r="B25"/>
      <c r="C25"/>
      <c r="D25"/>
      <c r="E25"/>
      <c r="F25"/>
      <c r="G25"/>
      <c r="H25"/>
      <c r="I25"/>
      <c r="J25" s="154"/>
      <c r="K25" s="152"/>
      <c r="L25" s="152"/>
      <c r="M25" s="154"/>
      <c r="N25" s="154"/>
      <c r="O25" s="150"/>
      <c r="P25" s="150"/>
      <c r="Q25" s="150"/>
    </row>
    <row r="26" spans="2:17" ht="15" x14ac:dyDescent="0.25">
      <c r="J26" s="154"/>
      <c r="K26" s="152"/>
      <c r="L26" s="152"/>
      <c r="M26" s="154"/>
      <c r="N26" s="154"/>
      <c r="O26" s="150"/>
      <c r="P26" s="150"/>
      <c r="Q26" s="150"/>
    </row>
    <row r="27" spans="2:17" ht="15" x14ac:dyDescent="0.25">
      <c r="I27" s="154"/>
      <c r="J27" s="154"/>
      <c r="K27" s="152"/>
      <c r="L27" s="152"/>
      <c r="M27" s="154"/>
      <c r="N27" s="154"/>
      <c r="O27" s="150"/>
      <c r="P27" s="150"/>
      <c r="Q27" s="150"/>
    </row>
    <row r="28" spans="2:17" ht="15" x14ac:dyDescent="0.25">
      <c r="B28" s="154"/>
      <c r="C28" s="154"/>
      <c r="D28" s="154"/>
      <c r="E28" s="154"/>
      <c r="F28" s="154"/>
      <c r="G28" s="154"/>
      <c r="H28" s="154"/>
      <c r="I28" s="154"/>
      <c r="J28" s="155"/>
      <c r="K28" s="153"/>
      <c r="L28" s="153"/>
      <c r="M28" s="154"/>
      <c r="N28" s="154"/>
      <c r="O28" s="150"/>
      <c r="P28" s="150"/>
      <c r="Q28" s="150"/>
    </row>
    <row r="29" spans="2:17" x14ac:dyDescent="0.2">
      <c r="B29" s="154"/>
      <c r="C29" s="154"/>
      <c r="D29" s="154"/>
      <c r="E29" s="154"/>
      <c r="F29" s="154"/>
      <c r="G29" s="154"/>
      <c r="H29" s="154"/>
      <c r="I29" s="154"/>
      <c r="K29" s="154"/>
      <c r="L29" s="154"/>
      <c r="M29" s="154"/>
      <c r="N29" s="154"/>
      <c r="O29" s="150"/>
      <c r="P29" s="150"/>
      <c r="Q29" s="150"/>
    </row>
    <row r="30" spans="2:17" s="150" customFormat="1" ht="15" x14ac:dyDescent="0.25">
      <c r="B30" s="154"/>
      <c r="C30" s="154"/>
      <c r="D30" s="154"/>
      <c r="E30" s="154"/>
      <c r="F30" s="154"/>
      <c r="G30" s="155"/>
      <c r="H30" s="155"/>
      <c r="I30" s="155"/>
      <c r="K30" s="154"/>
      <c r="L30" s="154"/>
    </row>
    <row r="31" spans="2:17" s="150" customFormat="1" x14ac:dyDescent="0.2">
      <c r="B31" s="154"/>
      <c r="C31" s="154"/>
      <c r="D31" s="154"/>
      <c r="E31" s="154"/>
      <c r="F31" s="151"/>
      <c r="G31" s="151"/>
      <c r="H31" s="151"/>
      <c r="I31" s="151"/>
      <c r="K31" s="154"/>
      <c r="L31" s="154"/>
    </row>
    <row r="32" spans="2:17" s="150" customFormat="1" ht="203.1" customHeight="1" x14ac:dyDescent="0.25">
      <c r="D32" s="156"/>
      <c r="K32" s="155"/>
      <c r="L32" s="154"/>
    </row>
    <row r="33" spans="2:12" s="150" customFormat="1" hidden="1" x14ac:dyDescent="0.2">
      <c r="K33" s="151"/>
      <c r="L33" s="151"/>
    </row>
    <row r="34" spans="2:12" s="150" customFormat="1" hidden="1" x14ac:dyDescent="0.2">
      <c r="D34" s="156"/>
    </row>
    <row r="35" spans="2:12" s="150" customFormat="1" hidden="1" x14ac:dyDescent="0.2">
      <c r="D35" s="157"/>
    </row>
    <row r="36" spans="2:12" s="150" customFormat="1" hidden="1" x14ac:dyDescent="0.2">
      <c r="D36" s="157"/>
      <c r="J36" s="158"/>
    </row>
    <row r="37" spans="2:12" s="150" customFormat="1" hidden="1" x14ac:dyDescent="0.2"/>
    <row r="38" spans="2:12" s="150" customFormat="1" hidden="1" x14ac:dyDescent="0.2"/>
    <row r="39" spans="2:12" s="150" customFormat="1" hidden="1" x14ac:dyDescent="0.2"/>
    <row r="40" spans="2:12" s="150" customFormat="1" hidden="1" x14ac:dyDescent="0.2"/>
    <row r="41" spans="2:12" s="150" customFormat="1" hidden="1" x14ac:dyDescent="0.2"/>
    <row r="42" spans="2:12" s="150" customFormat="1" hidden="1" x14ac:dyDescent="0.2"/>
    <row r="43" spans="2:12" s="150" customFormat="1" hidden="1" x14ac:dyDescent="0.2"/>
    <row r="44" spans="2:12" s="150" customFormat="1" hidden="1" x14ac:dyDescent="0.2"/>
    <row r="45" spans="2:12" hidden="1" x14ac:dyDescent="0.2">
      <c r="B45" s="150"/>
      <c r="C45" s="150"/>
      <c r="D45" s="150"/>
      <c r="E45" s="150"/>
      <c r="F45" s="150"/>
      <c r="G45" s="150"/>
      <c r="H45" s="150"/>
      <c r="I45" s="150"/>
      <c r="K45" s="150"/>
      <c r="L45" s="150"/>
    </row>
    <row r="46" spans="2:12" hidden="1" x14ac:dyDescent="0.2">
      <c r="B46" s="150"/>
      <c r="C46" s="150"/>
      <c r="D46" s="150"/>
      <c r="E46" s="150"/>
      <c r="F46" s="150"/>
      <c r="G46" s="150"/>
      <c r="H46" s="150"/>
      <c r="I46" s="150"/>
      <c r="K46" s="150"/>
      <c r="L46" s="150"/>
    </row>
    <row r="47" spans="2:12" hidden="1" x14ac:dyDescent="0.2">
      <c r="K47" s="150"/>
      <c r="L47" s="150"/>
    </row>
    <row r="48" spans="2:12" hidden="1" x14ac:dyDescent="0.2">
      <c r="K48" s="150"/>
      <c r="L48" s="150"/>
    </row>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sheetData>
  <mergeCells count="2">
    <mergeCell ref="C3:D3"/>
    <mergeCell ref="B1:H1"/>
  </mergeCells>
  <phoneticPr fontId="0" type="noConversion"/>
  <pageMargins left="0.75" right="0.75" top="1" bottom="1" header="0.5" footer="0.5"/>
  <pageSetup paperSize="9" scale="76" orientation="landscape" horizontalDpi="300" verticalDpi="300"/>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heetViews>
  <sheetFormatPr defaultColWidth="10.85546875" defaultRowHeight="12.75" x14ac:dyDescent="0.2"/>
  <cols>
    <col min="1" max="1" width="2.140625" style="485" customWidth="1"/>
    <col min="2" max="2" width="26.28515625" style="485" customWidth="1"/>
    <col min="3" max="3" width="24.85546875" style="485" customWidth="1"/>
    <col min="4" max="8" width="10.85546875" style="485"/>
    <col min="9" max="10" width="40.85546875" style="485" customWidth="1"/>
    <col min="11" max="16384" width="10.85546875" style="485"/>
  </cols>
  <sheetData>
    <row r="1" spans="1:10" ht="18.75" x14ac:dyDescent="0.3">
      <c r="A1" s="484" t="s">
        <v>380</v>
      </c>
    </row>
    <row r="2" spans="1:10" ht="18.75" x14ac:dyDescent="0.3">
      <c r="B2" s="340" t="s">
        <v>346</v>
      </c>
      <c r="C2" s="53"/>
      <c r="D2" s="53"/>
      <c r="E2" s="53"/>
      <c r="F2" s="53"/>
      <c r="G2" s="53"/>
      <c r="H2" s="53"/>
      <c r="I2" s="341"/>
      <c r="J2" s="341"/>
    </row>
    <row r="3" spans="1:10" ht="15.75" x14ac:dyDescent="0.25">
      <c r="B3" s="129" t="s">
        <v>7</v>
      </c>
      <c r="C3" s="130"/>
      <c r="D3" s="130"/>
      <c r="E3" s="130"/>
      <c r="F3" s="129" t="s">
        <v>24</v>
      </c>
      <c r="G3" s="130"/>
      <c r="H3" s="130"/>
      <c r="I3" s="380" t="s">
        <v>207</v>
      </c>
      <c r="J3" s="380" t="s">
        <v>758</v>
      </c>
    </row>
    <row r="4" spans="1:10" ht="15.75" x14ac:dyDescent="0.25">
      <c r="B4" s="355"/>
      <c r="C4" s="54"/>
      <c r="D4" s="54"/>
      <c r="E4" s="54"/>
      <c r="F4" s="355"/>
      <c r="G4" s="54"/>
      <c r="H4" s="54"/>
      <c r="I4" s="380"/>
      <c r="J4" s="380"/>
    </row>
    <row r="5" spans="1:10" ht="15.75" x14ac:dyDescent="0.25">
      <c r="B5" s="355" t="s">
        <v>385</v>
      </c>
      <c r="C5" s="54">
        <f>'Data input'!D90</f>
        <v>0</v>
      </c>
      <c r="D5" s="54"/>
      <c r="E5" s="54"/>
      <c r="F5" s="355" t="s">
        <v>382</v>
      </c>
      <c r="G5" s="54"/>
      <c r="H5" s="54"/>
      <c r="I5" s="350"/>
      <c r="J5" s="350"/>
    </row>
    <row r="6" spans="1:10" ht="15.75" x14ac:dyDescent="0.25">
      <c r="B6" s="355"/>
      <c r="C6" s="54"/>
      <c r="D6" s="54"/>
      <c r="E6" s="54"/>
      <c r="F6" s="355"/>
      <c r="G6" s="54"/>
      <c r="H6" s="54"/>
      <c r="I6" s="350"/>
      <c r="J6" s="350"/>
    </row>
    <row r="7" spans="1:10" ht="15.75" x14ac:dyDescent="0.25">
      <c r="B7" s="355" t="s">
        <v>386</v>
      </c>
      <c r="C7" s="54">
        <v>1</v>
      </c>
      <c r="D7" s="54" t="s">
        <v>387</v>
      </c>
      <c r="E7" s="54"/>
      <c r="F7" s="355"/>
      <c r="G7" s="54"/>
      <c r="H7" s="54"/>
      <c r="I7" s="350"/>
      <c r="J7" s="350"/>
    </row>
    <row r="8" spans="1:10" ht="15.75" x14ac:dyDescent="0.25">
      <c r="B8" s="355"/>
      <c r="C8" s="54">
        <v>2</v>
      </c>
      <c r="D8" s="54" t="s">
        <v>388</v>
      </c>
      <c r="E8" s="54"/>
      <c r="F8" s="355"/>
      <c r="G8" s="54"/>
      <c r="H8" s="54"/>
      <c r="I8" s="350"/>
      <c r="J8" s="350"/>
    </row>
    <row r="9" spans="1:10" ht="15.75" x14ac:dyDescent="0.25">
      <c r="B9" s="355"/>
      <c r="C9" s="54">
        <v>3</v>
      </c>
      <c r="D9" s="54" t="s">
        <v>389</v>
      </c>
      <c r="E9" s="54"/>
      <c r="F9" s="355"/>
      <c r="G9" s="54"/>
      <c r="H9" s="54"/>
      <c r="I9" s="350"/>
      <c r="J9" s="350"/>
    </row>
    <row r="10" spans="1:10" ht="15.75" x14ac:dyDescent="0.25">
      <c r="B10" s="355" t="s">
        <v>390</v>
      </c>
      <c r="C10" s="355">
        <f>'Data input'!D92</f>
        <v>1</v>
      </c>
      <c r="D10" s="54"/>
      <c r="E10" s="54"/>
      <c r="F10" s="355"/>
      <c r="G10" s="54"/>
      <c r="H10" s="54"/>
      <c r="I10" s="350"/>
      <c r="J10" s="350"/>
    </row>
    <row r="11" spans="1:10" ht="15.75" x14ac:dyDescent="0.25">
      <c r="B11" s="355"/>
      <c r="C11" s="54"/>
      <c r="D11" s="54"/>
      <c r="E11" s="54"/>
      <c r="F11" s="355"/>
      <c r="G11" s="54"/>
      <c r="H11" s="54"/>
      <c r="I11" s="350"/>
      <c r="J11" s="350"/>
    </row>
    <row r="12" spans="1:10" ht="15.75" x14ac:dyDescent="0.25">
      <c r="B12" s="355" t="s">
        <v>391</v>
      </c>
      <c r="C12" s="54">
        <v>1</v>
      </c>
      <c r="D12" s="54">
        <v>0.78500000000000003</v>
      </c>
      <c r="E12" s="54"/>
      <c r="F12" s="355" t="s">
        <v>392</v>
      </c>
      <c r="G12" s="54"/>
      <c r="H12" s="54"/>
      <c r="I12" s="350"/>
      <c r="J12" s="350"/>
    </row>
    <row r="13" spans="1:10" ht="15.75" x14ac:dyDescent="0.25">
      <c r="B13" s="355"/>
      <c r="C13" s="54">
        <v>2</v>
      </c>
      <c r="D13" s="54">
        <v>1.1100000000000001</v>
      </c>
      <c r="E13" s="54"/>
      <c r="F13" s="355" t="s">
        <v>392</v>
      </c>
      <c r="G13" s="54"/>
      <c r="H13" s="54"/>
      <c r="I13" s="350"/>
      <c r="J13" s="350"/>
    </row>
    <row r="14" spans="1:10" ht="15.75" x14ac:dyDescent="0.25">
      <c r="B14" s="355"/>
      <c r="C14" s="54">
        <v>3</v>
      </c>
      <c r="D14" s="54">
        <v>0.625</v>
      </c>
      <c r="E14" s="54"/>
      <c r="F14" s="355" t="s">
        <v>392</v>
      </c>
      <c r="G14" s="54"/>
      <c r="H14" s="54"/>
      <c r="I14" s="350"/>
      <c r="J14" s="350"/>
    </row>
    <row r="15" spans="1:10" ht="15.75" x14ac:dyDescent="0.25">
      <c r="B15" s="355" t="s">
        <v>393</v>
      </c>
      <c r="C15" s="355">
        <f>C10</f>
        <v>1</v>
      </c>
      <c r="D15" s="355">
        <f>INDEX(D12:D14,MATCH(C15,C12:C14,0))</f>
        <v>0.78500000000000003</v>
      </c>
      <c r="E15" s="355"/>
      <c r="F15" s="355" t="s">
        <v>392</v>
      </c>
      <c r="G15" s="54"/>
      <c r="H15" s="54"/>
      <c r="I15" s="350"/>
      <c r="J15" s="350"/>
    </row>
    <row r="16" spans="1:10" ht="15.75" x14ac:dyDescent="0.25">
      <c r="B16" s="355"/>
      <c r="C16" s="54"/>
      <c r="D16" s="54"/>
      <c r="E16" s="54"/>
      <c r="F16" s="355"/>
      <c r="G16" s="54"/>
      <c r="H16" s="54"/>
      <c r="I16" s="350"/>
      <c r="J16" s="350"/>
    </row>
    <row r="17" spans="2:10" ht="15.75" x14ac:dyDescent="0.25">
      <c r="B17" s="355" t="s">
        <v>394</v>
      </c>
      <c r="C17" s="355" t="s">
        <v>395</v>
      </c>
      <c r="D17" s="54">
        <f>(D15*C5)/1000</f>
        <v>0</v>
      </c>
      <c r="E17" s="54"/>
      <c r="F17" s="355" t="s">
        <v>396</v>
      </c>
      <c r="G17" s="54"/>
      <c r="H17" s="54"/>
      <c r="I17" s="350"/>
      <c r="J17" s="350"/>
    </row>
    <row r="18" spans="2:10" ht="15.75" x14ac:dyDescent="0.25">
      <c r="B18" s="381"/>
      <c r="C18" s="355" t="s">
        <v>397</v>
      </c>
      <c r="D18" s="54">
        <v>38.6</v>
      </c>
      <c r="E18" s="54"/>
      <c r="F18" s="355" t="s">
        <v>398</v>
      </c>
      <c r="G18" s="54"/>
      <c r="H18" s="54"/>
      <c r="I18" s="350"/>
      <c r="J18" s="350"/>
    </row>
    <row r="19" spans="2:10" ht="15.75" x14ac:dyDescent="0.25">
      <c r="B19" s="355"/>
      <c r="C19" s="54" t="s">
        <v>399</v>
      </c>
      <c r="D19" s="54">
        <v>69.900000000000006</v>
      </c>
      <c r="E19" s="54"/>
      <c r="F19" s="355" t="s">
        <v>400</v>
      </c>
      <c r="G19" s="54"/>
      <c r="H19" s="54"/>
      <c r="I19" s="350" t="s">
        <v>756</v>
      </c>
      <c r="J19" s="350" t="s">
        <v>413</v>
      </c>
    </row>
    <row r="20" spans="2:10" ht="15.75" x14ac:dyDescent="0.25">
      <c r="B20" s="355"/>
      <c r="C20" s="54" t="s">
        <v>401</v>
      </c>
      <c r="D20" s="54">
        <v>0.1</v>
      </c>
      <c r="E20" s="54"/>
      <c r="F20" s="355" t="s">
        <v>400</v>
      </c>
      <c r="G20" s="54"/>
      <c r="H20" s="54"/>
      <c r="I20" s="350" t="s">
        <v>756</v>
      </c>
      <c r="J20" s="350" t="s">
        <v>413</v>
      </c>
    </row>
    <row r="21" spans="2:10" ht="15.75" x14ac:dyDescent="0.25">
      <c r="B21" s="355"/>
      <c r="C21" s="54" t="s">
        <v>402</v>
      </c>
      <c r="D21" s="54">
        <v>0.2</v>
      </c>
      <c r="E21" s="54"/>
      <c r="F21" s="355" t="s">
        <v>400</v>
      </c>
      <c r="G21" s="54"/>
      <c r="H21" s="54"/>
      <c r="I21" s="350" t="s">
        <v>756</v>
      </c>
      <c r="J21" s="350" t="s">
        <v>413</v>
      </c>
    </row>
    <row r="22" spans="2:10" ht="15.75" x14ac:dyDescent="0.25">
      <c r="B22" s="355"/>
      <c r="C22" s="54"/>
      <c r="D22" s="54"/>
      <c r="E22" s="54"/>
      <c r="F22" s="355"/>
      <c r="G22" s="54"/>
      <c r="H22" s="54"/>
      <c r="I22" s="350"/>
      <c r="J22" s="350"/>
    </row>
    <row r="23" spans="2:10" ht="15.75" x14ac:dyDescent="0.25">
      <c r="B23" s="355"/>
      <c r="C23" s="355" t="s">
        <v>755</v>
      </c>
      <c r="D23" s="54"/>
      <c r="E23" s="54"/>
      <c r="F23" s="355"/>
      <c r="G23" s="54"/>
      <c r="H23" s="54"/>
      <c r="I23" s="350" t="s">
        <v>757</v>
      </c>
      <c r="J23" s="350" t="s">
        <v>413</v>
      </c>
    </row>
    <row r="24" spans="2:10" ht="15.75" x14ac:dyDescent="0.25">
      <c r="B24" s="355"/>
      <c r="C24" s="54"/>
      <c r="D24" s="54"/>
      <c r="E24" s="54"/>
      <c r="F24" s="355"/>
      <c r="G24" s="54"/>
      <c r="H24" s="54"/>
      <c r="I24" s="350" t="s">
        <v>756</v>
      </c>
      <c r="J24" s="350" t="s">
        <v>413</v>
      </c>
    </row>
    <row r="25" spans="2:10" ht="15.75" x14ac:dyDescent="0.25">
      <c r="B25" s="355"/>
      <c r="C25" s="54" t="s">
        <v>403</v>
      </c>
      <c r="D25" s="54"/>
      <c r="E25" s="54"/>
      <c r="F25" s="355"/>
      <c r="G25" s="54"/>
      <c r="H25" s="54"/>
      <c r="I25" s="350"/>
      <c r="J25" s="350"/>
    </row>
    <row r="26" spans="2:10" ht="15.75" x14ac:dyDescent="0.25">
      <c r="B26" s="355"/>
      <c r="C26" s="54" t="s">
        <v>404</v>
      </c>
      <c r="D26" s="54"/>
      <c r="E26" s="54"/>
      <c r="F26" s="355"/>
      <c r="G26" s="54"/>
      <c r="H26" s="54"/>
      <c r="I26" s="350"/>
      <c r="J26" s="350"/>
    </row>
    <row r="27" spans="2:10" ht="15.75" x14ac:dyDescent="0.25">
      <c r="B27" s="355"/>
      <c r="C27" s="54" t="s">
        <v>405</v>
      </c>
      <c r="D27" s="54"/>
      <c r="E27" s="54"/>
      <c r="F27" s="355"/>
      <c r="G27" s="54"/>
      <c r="H27" s="54"/>
      <c r="I27" s="350"/>
      <c r="J27" s="350"/>
    </row>
    <row r="28" spans="2:10" ht="15.75" x14ac:dyDescent="0.25">
      <c r="B28" s="355"/>
      <c r="C28" s="54" t="s">
        <v>406</v>
      </c>
      <c r="D28" s="54"/>
      <c r="E28" s="54"/>
      <c r="F28" s="355"/>
      <c r="G28" s="54"/>
      <c r="H28" s="54"/>
      <c r="I28" s="350"/>
      <c r="J28" s="350"/>
    </row>
    <row r="29" spans="2:10" ht="15.75" x14ac:dyDescent="0.25">
      <c r="B29" s="355"/>
      <c r="C29" s="54"/>
      <c r="D29" s="54"/>
      <c r="E29" s="54"/>
      <c r="F29" s="355"/>
      <c r="G29" s="54"/>
      <c r="H29" s="54"/>
      <c r="I29" s="350"/>
      <c r="J29" s="350"/>
    </row>
    <row r="30" spans="2:10" ht="15.75" x14ac:dyDescent="0.25">
      <c r="B30" s="355" t="s">
        <v>407</v>
      </c>
      <c r="C30" s="54"/>
      <c r="D30" s="359">
        <f>(D17*D18*D19)*10^-3</f>
        <v>0</v>
      </c>
      <c r="E30" s="54"/>
      <c r="F30" s="355" t="s">
        <v>373</v>
      </c>
      <c r="G30" s="54"/>
      <c r="H30" s="54"/>
      <c r="I30" s="350"/>
      <c r="J30" s="350"/>
    </row>
    <row r="31" spans="2:10" ht="15.75" x14ac:dyDescent="0.25">
      <c r="B31" s="355" t="s">
        <v>408</v>
      </c>
      <c r="C31" s="54"/>
      <c r="D31" s="359">
        <f>(D17*D18*D20)*10^-3</f>
        <v>0</v>
      </c>
      <c r="E31" s="54"/>
      <c r="F31" s="355" t="s">
        <v>373</v>
      </c>
      <c r="G31" s="54"/>
      <c r="H31" s="54"/>
      <c r="I31" s="350"/>
      <c r="J31" s="350"/>
    </row>
    <row r="32" spans="2:10" ht="15.75" x14ac:dyDescent="0.25">
      <c r="B32" s="229" t="s">
        <v>409</v>
      </c>
      <c r="C32" s="128"/>
      <c r="D32" s="486">
        <f>(D17*D18*D21)*10^-3</f>
        <v>0</v>
      </c>
      <c r="E32" s="128"/>
      <c r="F32" s="229" t="s">
        <v>373</v>
      </c>
      <c r="G32" s="128"/>
      <c r="H32" s="128"/>
      <c r="I32" s="487"/>
      <c r="J32" s="487"/>
    </row>
    <row r="33" spans="2:10" ht="15.75" x14ac:dyDescent="0.25">
      <c r="B33" s="431"/>
      <c r="C33" s="430"/>
      <c r="D33" s="430"/>
      <c r="E33" s="430"/>
      <c r="F33" s="431"/>
      <c r="G33" s="430"/>
      <c r="H33" s="430"/>
      <c r="I33" s="432"/>
      <c r="J33" s="432"/>
    </row>
  </sheetData>
  <sheetProtection sheet="1" objects="1" scenarios="1"/>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heetViews>
  <sheetFormatPr defaultColWidth="10.85546875" defaultRowHeight="12.75" x14ac:dyDescent="0.2"/>
  <cols>
    <col min="1" max="1" width="2.7109375" style="485" customWidth="1"/>
    <col min="2" max="16384" width="10.85546875" style="485"/>
  </cols>
  <sheetData>
    <row r="1" spans="1:4" ht="18.75" x14ac:dyDescent="0.3">
      <c r="A1" s="484" t="s">
        <v>213</v>
      </c>
    </row>
    <row r="3" spans="1:4" x14ac:dyDescent="0.2">
      <c r="B3" s="488" t="s">
        <v>214</v>
      </c>
      <c r="C3" s="489" t="s">
        <v>215</v>
      </c>
      <c r="D3" s="490"/>
    </row>
    <row r="4" spans="1:4" x14ac:dyDescent="0.2">
      <c r="B4" s="490" t="s">
        <v>216</v>
      </c>
      <c r="C4" s="490">
        <v>1</v>
      </c>
      <c r="D4" s="490"/>
    </row>
    <row r="5" spans="1:4" x14ac:dyDescent="0.2">
      <c r="B5" s="333" t="s">
        <v>50</v>
      </c>
      <c r="C5" s="333">
        <v>25</v>
      </c>
      <c r="D5" s="333"/>
    </row>
    <row r="6" spans="1:4" x14ac:dyDescent="0.2">
      <c r="B6" s="333" t="s">
        <v>51</v>
      </c>
      <c r="C6" s="333">
        <v>298</v>
      </c>
      <c r="D6" s="333"/>
    </row>
    <row r="7" spans="1:4" x14ac:dyDescent="0.2">
      <c r="B7" s="333" t="s">
        <v>217</v>
      </c>
      <c r="C7" s="491">
        <v>7390</v>
      </c>
      <c r="D7" s="333"/>
    </row>
    <row r="8" spans="1:4" x14ac:dyDescent="0.2">
      <c r="B8" s="333" t="s">
        <v>218</v>
      </c>
      <c r="C8" s="491">
        <v>12200</v>
      </c>
      <c r="D8" s="333"/>
    </row>
    <row r="9" spans="1:4" x14ac:dyDescent="0.2">
      <c r="B9" s="333" t="s">
        <v>219</v>
      </c>
      <c r="C9" s="491">
        <v>22800</v>
      </c>
      <c r="D9" s="333"/>
    </row>
    <row r="10" spans="1:4" x14ac:dyDescent="0.2">
      <c r="B10" s="492" t="s">
        <v>220</v>
      </c>
      <c r="C10" s="493">
        <v>17200</v>
      </c>
      <c r="D10" s="492"/>
    </row>
    <row r="11" spans="1:4" x14ac:dyDescent="0.2">
      <c r="B11" s="333"/>
      <c r="C11" s="333"/>
      <c r="D11" s="333"/>
    </row>
    <row r="12" spans="1:4" x14ac:dyDescent="0.2">
      <c r="B12" s="488" t="s">
        <v>214</v>
      </c>
      <c r="C12" s="494" t="s">
        <v>221</v>
      </c>
      <c r="D12" s="488"/>
    </row>
    <row r="13" spans="1:4" x14ac:dyDescent="0.2">
      <c r="B13" s="500" t="s">
        <v>216</v>
      </c>
      <c r="C13" s="495">
        <f>44/12</f>
        <v>3.6666666666666665</v>
      </c>
      <c r="D13" s="488"/>
    </row>
    <row r="14" spans="1:4" x14ac:dyDescent="0.2">
      <c r="B14" s="496" t="s">
        <v>50</v>
      </c>
      <c r="C14" s="497">
        <f>16/12</f>
        <v>1.3333333333333333</v>
      </c>
      <c r="D14" s="496"/>
    </row>
    <row r="15" spans="1:4" x14ac:dyDescent="0.2">
      <c r="B15" s="496" t="s">
        <v>51</v>
      </c>
      <c r="C15" s="498">
        <f>44/28</f>
        <v>1.5714285714285714</v>
      </c>
      <c r="D15" s="333"/>
    </row>
    <row r="16" spans="1:4" x14ac:dyDescent="0.2">
      <c r="B16" s="496" t="s">
        <v>222</v>
      </c>
      <c r="C16" s="498">
        <f>46/14</f>
        <v>3.2857142857142856</v>
      </c>
      <c r="D16" s="333"/>
    </row>
    <row r="17" spans="2:4" x14ac:dyDescent="0.2">
      <c r="B17" s="496" t="s">
        <v>32</v>
      </c>
      <c r="C17" s="498">
        <f>28/12</f>
        <v>2.3333333333333335</v>
      </c>
      <c r="D17" s="333"/>
    </row>
    <row r="18" spans="2:4" x14ac:dyDescent="0.2">
      <c r="B18" s="496" t="s">
        <v>223</v>
      </c>
      <c r="C18" s="498">
        <f>44/12</f>
        <v>3.6666666666666665</v>
      </c>
      <c r="D18" s="333"/>
    </row>
    <row r="19" spans="2:4" x14ac:dyDescent="0.2">
      <c r="B19" s="492" t="s">
        <v>33</v>
      </c>
      <c r="C19" s="499">
        <f>14/12</f>
        <v>1.1666666666666667</v>
      </c>
      <c r="D19" s="492"/>
    </row>
  </sheetData>
  <sheetProtection sheet="1" objects="1" scenarios="1"/>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T109"/>
  <sheetViews>
    <sheetView showGridLines="0" workbookViewId="0">
      <selection activeCell="C108" sqref="C108"/>
    </sheetView>
  </sheetViews>
  <sheetFormatPr defaultColWidth="8.85546875" defaultRowHeight="15.75" x14ac:dyDescent="0.25"/>
  <cols>
    <col min="1" max="1" width="4.28515625" style="3" customWidth="1"/>
    <col min="2" max="2" width="41.42578125" style="3" customWidth="1"/>
    <col min="3" max="3" width="19.140625" style="3" customWidth="1"/>
    <col min="4" max="4" width="17.28515625" style="3" customWidth="1"/>
    <col min="5" max="5" width="15.28515625" style="3" customWidth="1"/>
    <col min="6" max="6" width="14.42578125" style="3" customWidth="1"/>
    <col min="7" max="7" width="14" style="3" customWidth="1"/>
    <col min="8" max="8" width="15.85546875" style="3" customWidth="1"/>
    <col min="9" max="9" width="11.7109375" style="3" customWidth="1"/>
    <col min="10" max="10" width="8.85546875" style="3"/>
    <col min="11" max="11" width="9.28515625" style="3" customWidth="1"/>
    <col min="12" max="12" width="4.42578125" style="3" customWidth="1"/>
    <col min="13" max="16384" width="8.85546875" style="3"/>
  </cols>
  <sheetData>
    <row r="1" spans="2:18" ht="23.25" customHeight="1" x14ac:dyDescent="0.3">
      <c r="B1" s="15" t="s">
        <v>113</v>
      </c>
      <c r="G1" s="4" t="s">
        <v>184</v>
      </c>
      <c r="H1" s="244" t="s">
        <v>815</v>
      </c>
      <c r="I1" s="243"/>
    </row>
    <row r="2" spans="2:18" ht="14.25" customHeight="1" x14ac:dyDescent="0.3">
      <c r="B2" s="15"/>
    </row>
    <row r="3" spans="2:18" ht="18.75" x14ac:dyDescent="0.3">
      <c r="B3" s="260" t="s">
        <v>197</v>
      </c>
      <c r="C3" s="179"/>
      <c r="D3" s="261"/>
      <c r="E3" s="179">
        <v>3</v>
      </c>
      <c r="F3" s="179"/>
      <c r="G3" s="179"/>
      <c r="H3" s="179"/>
      <c r="I3" s="179"/>
      <c r="J3" s="214"/>
      <c r="K3"/>
      <c r="L3"/>
      <c r="M3"/>
      <c r="N3"/>
      <c r="O3"/>
      <c r="P3" s="5"/>
      <c r="Q3" s="5"/>
      <c r="R3" s="5"/>
    </row>
    <row r="4" spans="2:18" ht="18.75" x14ac:dyDescent="0.3">
      <c r="B4" s="262"/>
      <c r="C4" s="263"/>
      <c r="D4" s="263"/>
      <c r="E4" s="118"/>
      <c r="F4" s="118"/>
      <c r="G4" s="118"/>
      <c r="H4" s="118"/>
      <c r="I4" s="118"/>
      <c r="J4" s="214"/>
      <c r="K4"/>
      <c r="L4"/>
      <c r="M4"/>
      <c r="N4"/>
      <c r="O4"/>
    </row>
    <row r="5" spans="2:18" ht="18.75" x14ac:dyDescent="0.3">
      <c r="B5" s="509" t="s">
        <v>246</v>
      </c>
      <c r="C5" s="263"/>
      <c r="D5" s="263"/>
      <c r="E5" s="118">
        <v>1</v>
      </c>
      <c r="F5" s="118"/>
      <c r="G5" s="118"/>
      <c r="H5" s="118"/>
      <c r="I5" s="118"/>
      <c r="J5" s="214"/>
      <c r="K5"/>
      <c r="L5"/>
      <c r="M5"/>
      <c r="N5"/>
      <c r="O5"/>
    </row>
    <row r="6" spans="2:18" ht="18.75" x14ac:dyDescent="0.3">
      <c r="B6" s="262"/>
      <c r="C6" s="263"/>
      <c r="D6" s="263"/>
      <c r="E6" s="118"/>
      <c r="F6" s="118"/>
      <c r="G6" s="118"/>
      <c r="H6" s="118"/>
      <c r="I6" s="118"/>
      <c r="J6" s="214"/>
      <c r="K6"/>
      <c r="L6"/>
      <c r="M6"/>
      <c r="N6"/>
      <c r="O6"/>
    </row>
    <row r="7" spans="2:18" x14ac:dyDescent="0.25">
      <c r="B7" s="201"/>
      <c r="C7" s="96"/>
      <c r="D7" s="95" t="s">
        <v>23</v>
      </c>
      <c r="E7" s="95" t="s">
        <v>19</v>
      </c>
      <c r="F7" s="95" t="s">
        <v>20</v>
      </c>
      <c r="G7" s="95" t="s">
        <v>204</v>
      </c>
      <c r="H7" s="95" t="s">
        <v>205</v>
      </c>
      <c r="I7" s="202" t="s">
        <v>24</v>
      </c>
      <c r="J7" s="214"/>
      <c r="K7"/>
      <c r="L7"/>
      <c r="M7"/>
      <c r="N7"/>
      <c r="O7"/>
    </row>
    <row r="8" spans="2:18" x14ac:dyDescent="0.25">
      <c r="B8" s="178"/>
      <c r="C8" s="242" t="s">
        <v>114</v>
      </c>
      <c r="D8" s="179"/>
      <c r="E8" s="179"/>
      <c r="F8" s="179"/>
      <c r="G8" s="179"/>
      <c r="H8" s="179"/>
      <c r="I8" s="180"/>
      <c r="J8" s="5"/>
      <c r="K8"/>
      <c r="L8"/>
      <c r="M8"/>
      <c r="N8"/>
      <c r="O8"/>
    </row>
    <row r="9" spans="2:18" x14ac:dyDescent="0.25">
      <c r="B9" s="181" t="s">
        <v>195</v>
      </c>
      <c r="C9" s="118" t="s">
        <v>107</v>
      </c>
      <c r="D9" s="214">
        <v>300</v>
      </c>
      <c r="E9" s="214">
        <v>50</v>
      </c>
      <c r="F9" s="214">
        <v>50</v>
      </c>
      <c r="G9" s="214">
        <v>50</v>
      </c>
      <c r="H9" s="214">
        <v>50</v>
      </c>
      <c r="I9" s="182" t="s">
        <v>106</v>
      </c>
      <c r="J9" s="5"/>
      <c r="K9"/>
      <c r="L9"/>
      <c r="M9"/>
      <c r="N9"/>
      <c r="O9"/>
    </row>
    <row r="10" spans="2:18" x14ac:dyDescent="0.25">
      <c r="B10" s="183"/>
      <c r="C10" s="118" t="s">
        <v>108</v>
      </c>
      <c r="D10" s="214">
        <v>300</v>
      </c>
      <c r="E10" s="214">
        <v>50</v>
      </c>
      <c r="F10" s="214">
        <v>50</v>
      </c>
      <c r="G10" s="214">
        <v>50</v>
      </c>
      <c r="H10" s="214">
        <v>50</v>
      </c>
      <c r="I10" s="182" t="s">
        <v>106</v>
      </c>
      <c r="J10" s="5"/>
      <c r="K10"/>
      <c r="L10"/>
      <c r="M10"/>
      <c r="N10"/>
      <c r="O10"/>
    </row>
    <row r="11" spans="2:18" x14ac:dyDescent="0.25">
      <c r="B11" s="183"/>
      <c r="C11" s="118" t="s">
        <v>109</v>
      </c>
      <c r="D11" s="214">
        <v>300</v>
      </c>
      <c r="E11" s="214">
        <v>50</v>
      </c>
      <c r="F11" s="214">
        <v>50</v>
      </c>
      <c r="G11" s="214">
        <v>50</v>
      </c>
      <c r="H11" s="214">
        <v>50</v>
      </c>
      <c r="I11" s="182" t="s">
        <v>106</v>
      </c>
      <c r="J11" s="5"/>
      <c r="K11"/>
      <c r="L11"/>
      <c r="M11"/>
      <c r="N11"/>
      <c r="O11"/>
    </row>
    <row r="12" spans="2:18" x14ac:dyDescent="0.25">
      <c r="B12" s="183"/>
      <c r="C12" s="118" t="s">
        <v>110</v>
      </c>
      <c r="D12" s="214">
        <v>300</v>
      </c>
      <c r="E12" s="214">
        <v>50</v>
      </c>
      <c r="F12" s="214">
        <v>50</v>
      </c>
      <c r="G12" s="214">
        <v>50</v>
      </c>
      <c r="H12" s="214">
        <v>50</v>
      </c>
      <c r="I12" s="182" t="s">
        <v>106</v>
      </c>
      <c r="K12"/>
      <c r="L12"/>
      <c r="M12"/>
      <c r="N12"/>
      <c r="O12"/>
    </row>
    <row r="13" spans="2:18" x14ac:dyDescent="0.25">
      <c r="B13" s="184"/>
      <c r="C13" s="196" t="s">
        <v>111</v>
      </c>
      <c r="D13" s="196">
        <f>AVERAGE(D9:D12)</f>
        <v>300</v>
      </c>
      <c r="E13" s="196">
        <f>AVERAGE(E9:E12)</f>
        <v>50</v>
      </c>
      <c r="F13" s="196">
        <f>AVERAGE(F9:F12)</f>
        <v>50</v>
      </c>
      <c r="G13" s="196">
        <f>AVERAGE(G9:G12)</f>
        <v>50</v>
      </c>
      <c r="H13" s="196">
        <f>AVERAGE(H9:H12)</f>
        <v>50</v>
      </c>
      <c r="I13" s="197" t="s">
        <v>106</v>
      </c>
      <c r="K13"/>
      <c r="L13"/>
      <c r="M13"/>
      <c r="N13"/>
      <c r="O13"/>
    </row>
    <row r="14" spans="2:18" x14ac:dyDescent="0.25">
      <c r="B14" s="63"/>
      <c r="C14" s="63"/>
      <c r="D14" s="63"/>
      <c r="E14" s="63"/>
      <c r="F14" s="63"/>
      <c r="G14" s="63"/>
      <c r="H14" s="63"/>
      <c r="I14" s="63"/>
      <c r="K14"/>
      <c r="L14"/>
      <c r="M14"/>
      <c r="N14"/>
      <c r="O14"/>
    </row>
    <row r="15" spans="2:18" x14ac:dyDescent="0.25">
      <c r="B15" s="186" t="s">
        <v>45</v>
      </c>
      <c r="C15" s="179" t="s">
        <v>107</v>
      </c>
      <c r="D15" s="215">
        <v>550</v>
      </c>
      <c r="E15" s="215">
        <v>370</v>
      </c>
      <c r="F15" s="215">
        <v>179</v>
      </c>
      <c r="G15" s="215">
        <v>600</v>
      </c>
      <c r="H15" s="215">
        <v>225</v>
      </c>
      <c r="I15" s="180" t="s">
        <v>112</v>
      </c>
      <c r="K15"/>
      <c r="L15"/>
      <c r="M15"/>
      <c r="N15"/>
      <c r="O15"/>
    </row>
    <row r="16" spans="2:18" x14ac:dyDescent="0.25">
      <c r="B16" s="183"/>
      <c r="C16" s="118" t="s">
        <v>108</v>
      </c>
      <c r="D16" s="214">
        <v>550</v>
      </c>
      <c r="E16" s="214">
        <v>370</v>
      </c>
      <c r="F16" s="214">
        <v>179</v>
      </c>
      <c r="G16" s="214">
        <v>600</v>
      </c>
      <c r="H16" s="214">
        <v>225</v>
      </c>
      <c r="I16" s="182" t="s">
        <v>112</v>
      </c>
    </row>
    <row r="17" spans="2:9" x14ac:dyDescent="0.25">
      <c r="B17" s="183"/>
      <c r="C17" s="118" t="s">
        <v>109</v>
      </c>
      <c r="D17" s="214">
        <v>550</v>
      </c>
      <c r="E17" s="214">
        <v>370</v>
      </c>
      <c r="F17" s="214">
        <v>179</v>
      </c>
      <c r="G17" s="214">
        <v>600</v>
      </c>
      <c r="H17" s="214">
        <v>225</v>
      </c>
      <c r="I17" s="182" t="s">
        <v>112</v>
      </c>
    </row>
    <row r="18" spans="2:9" x14ac:dyDescent="0.25">
      <c r="B18" s="183"/>
      <c r="C18" s="118" t="s">
        <v>110</v>
      </c>
      <c r="D18" s="214">
        <v>550</v>
      </c>
      <c r="E18" s="214">
        <v>370</v>
      </c>
      <c r="F18" s="214">
        <v>179</v>
      </c>
      <c r="G18" s="214">
        <v>600</v>
      </c>
      <c r="H18" s="214">
        <v>225</v>
      </c>
      <c r="I18" s="182" t="s">
        <v>112</v>
      </c>
    </row>
    <row r="19" spans="2:9" x14ac:dyDescent="0.25">
      <c r="B19" s="184"/>
      <c r="C19" s="196" t="s">
        <v>111</v>
      </c>
      <c r="D19" s="198">
        <f>AVERAGE(D15:D18)</f>
        <v>550</v>
      </c>
      <c r="E19" s="198">
        <f>AVERAGE(E15:E18)</f>
        <v>370</v>
      </c>
      <c r="F19" s="198">
        <f>AVERAGE(F15:F18)</f>
        <v>179</v>
      </c>
      <c r="G19" s="198">
        <f>AVERAGE(G15:G18)</f>
        <v>600</v>
      </c>
      <c r="H19" s="198">
        <f>AVERAGE(H15:H18)</f>
        <v>225</v>
      </c>
      <c r="I19" s="197" t="s">
        <v>112</v>
      </c>
    </row>
    <row r="20" spans="2:9" x14ac:dyDescent="0.25">
      <c r="B20" s="63"/>
      <c r="C20" s="63"/>
      <c r="D20" s="63"/>
      <c r="E20" s="63"/>
      <c r="F20" s="63"/>
      <c r="G20" s="63"/>
      <c r="H20" s="63"/>
      <c r="I20" s="63"/>
    </row>
    <row r="21" spans="2:9" x14ac:dyDescent="0.25">
      <c r="B21" s="186" t="s">
        <v>59</v>
      </c>
      <c r="C21" s="179" t="s">
        <v>107</v>
      </c>
      <c r="D21" s="215">
        <v>0</v>
      </c>
      <c r="E21" s="215">
        <v>0.6</v>
      </c>
      <c r="F21" s="215">
        <v>0.56999999999999995</v>
      </c>
      <c r="G21" s="215">
        <v>0</v>
      </c>
      <c r="H21" s="215">
        <v>0.8</v>
      </c>
      <c r="I21" s="180" t="s">
        <v>1</v>
      </c>
    </row>
    <row r="22" spans="2:9" x14ac:dyDescent="0.25">
      <c r="B22" s="183"/>
      <c r="C22" s="118" t="s">
        <v>108</v>
      </c>
      <c r="D22" s="214">
        <v>0</v>
      </c>
      <c r="E22" s="214">
        <v>0.6</v>
      </c>
      <c r="F22" s="214">
        <v>0.56999999999999995</v>
      </c>
      <c r="G22" s="214">
        <v>0</v>
      </c>
      <c r="H22" s="214">
        <v>0.8</v>
      </c>
      <c r="I22" s="182" t="s">
        <v>1</v>
      </c>
    </row>
    <row r="23" spans="2:9" x14ac:dyDescent="0.25">
      <c r="B23" s="183"/>
      <c r="C23" s="118" t="s">
        <v>109</v>
      </c>
      <c r="D23" s="214">
        <v>0</v>
      </c>
      <c r="E23" s="214">
        <v>0.6</v>
      </c>
      <c r="F23" s="214">
        <v>0.56999999999999995</v>
      </c>
      <c r="G23" s="214">
        <v>0</v>
      </c>
      <c r="H23" s="214">
        <v>0.8</v>
      </c>
      <c r="I23" s="182" t="s">
        <v>1</v>
      </c>
    </row>
    <row r="24" spans="2:9" x14ac:dyDescent="0.25">
      <c r="B24" s="183"/>
      <c r="C24" s="118" t="s">
        <v>110</v>
      </c>
      <c r="D24" s="576">
        <v>0</v>
      </c>
      <c r="E24" s="214">
        <v>0.6</v>
      </c>
      <c r="F24" s="214">
        <v>0.56999999999999995</v>
      </c>
      <c r="G24" s="214">
        <v>0</v>
      </c>
      <c r="H24" s="214">
        <v>0.8</v>
      </c>
      <c r="I24" s="182" t="s">
        <v>1</v>
      </c>
    </row>
    <row r="25" spans="2:9" x14ac:dyDescent="0.25">
      <c r="B25" s="184"/>
      <c r="C25" s="196" t="s">
        <v>111</v>
      </c>
      <c r="D25" s="199">
        <v>0</v>
      </c>
      <c r="E25" s="196">
        <f>AVERAGE(E21:E24)</f>
        <v>0.6</v>
      </c>
      <c r="F25" s="196">
        <f>AVERAGE(F21:F24)</f>
        <v>0.56999999999999995</v>
      </c>
      <c r="G25" s="196">
        <f>AVERAGE(G21:G24)</f>
        <v>0</v>
      </c>
      <c r="H25" s="196">
        <f>AVERAGE(H21:H24)</f>
        <v>0.8</v>
      </c>
      <c r="I25" s="197" t="s">
        <v>1</v>
      </c>
    </row>
    <row r="26" spans="2:9" x14ac:dyDescent="0.25">
      <c r="B26" s="63"/>
      <c r="C26" s="63"/>
      <c r="D26" s="63"/>
      <c r="E26" s="63"/>
      <c r="F26" s="63"/>
      <c r="G26" s="63"/>
      <c r="H26" s="63"/>
      <c r="I26" s="63"/>
    </row>
    <row r="27" spans="2:9" x14ac:dyDescent="0.25">
      <c r="B27" s="186" t="s">
        <v>196</v>
      </c>
      <c r="C27" s="179" t="s">
        <v>107</v>
      </c>
      <c r="D27" s="215">
        <v>20</v>
      </c>
      <c r="E27" s="215">
        <v>20</v>
      </c>
      <c r="F27" s="215">
        <v>20</v>
      </c>
      <c r="G27" s="215">
        <v>20</v>
      </c>
      <c r="H27" s="215">
        <v>20</v>
      </c>
      <c r="I27" s="180" t="s">
        <v>10</v>
      </c>
    </row>
    <row r="28" spans="2:9" x14ac:dyDescent="0.25">
      <c r="B28" s="183"/>
      <c r="C28" s="118" t="s">
        <v>108</v>
      </c>
      <c r="D28" s="214">
        <v>20</v>
      </c>
      <c r="E28" s="214">
        <v>20</v>
      </c>
      <c r="F28" s="214">
        <v>20</v>
      </c>
      <c r="G28" s="214">
        <v>20</v>
      </c>
      <c r="H28" s="214">
        <v>20</v>
      </c>
      <c r="I28" s="182" t="s">
        <v>10</v>
      </c>
    </row>
    <row r="29" spans="2:9" x14ac:dyDescent="0.25">
      <c r="B29" s="183"/>
      <c r="C29" s="118" t="s">
        <v>109</v>
      </c>
      <c r="D29" s="214">
        <v>20</v>
      </c>
      <c r="E29" s="214">
        <v>20</v>
      </c>
      <c r="F29" s="214">
        <v>20</v>
      </c>
      <c r="G29" s="214">
        <v>20</v>
      </c>
      <c r="H29" s="214">
        <v>20</v>
      </c>
      <c r="I29" s="182" t="s">
        <v>10</v>
      </c>
    </row>
    <row r="30" spans="2:9" x14ac:dyDescent="0.25">
      <c r="B30" s="183"/>
      <c r="C30" s="118" t="s">
        <v>110</v>
      </c>
      <c r="D30" s="214">
        <v>20</v>
      </c>
      <c r="E30" s="214">
        <v>20</v>
      </c>
      <c r="F30" s="214">
        <v>20</v>
      </c>
      <c r="G30" s="214">
        <v>20</v>
      </c>
      <c r="H30" s="214">
        <v>20</v>
      </c>
      <c r="I30" s="182" t="s">
        <v>10</v>
      </c>
    </row>
    <row r="31" spans="2:9" x14ac:dyDescent="0.25">
      <c r="B31" s="184"/>
      <c r="C31" s="196" t="s">
        <v>111</v>
      </c>
      <c r="D31" s="198">
        <f>AVERAGE(D27:D30)</f>
        <v>20</v>
      </c>
      <c r="E31" s="198">
        <f>AVERAGE(E27:E30)</f>
        <v>20</v>
      </c>
      <c r="F31" s="198">
        <f>AVERAGE(F27:F30)</f>
        <v>20</v>
      </c>
      <c r="G31" s="198">
        <f>AVERAGE(G27:G30)</f>
        <v>20</v>
      </c>
      <c r="H31" s="198">
        <f>AVERAGE(H27:H30)</f>
        <v>20</v>
      </c>
      <c r="I31" s="197" t="s">
        <v>10</v>
      </c>
    </row>
    <row r="32" spans="2:9" x14ac:dyDescent="0.25">
      <c r="B32" s="63"/>
      <c r="C32" s="63"/>
      <c r="D32" s="63"/>
      <c r="E32" s="63"/>
      <c r="F32" s="63"/>
      <c r="G32" s="63"/>
      <c r="H32" s="63"/>
      <c r="I32" s="63"/>
    </row>
    <row r="33" spans="2:20" x14ac:dyDescent="0.25">
      <c r="B33" s="186" t="s">
        <v>54</v>
      </c>
      <c r="C33" s="179" t="s">
        <v>107</v>
      </c>
      <c r="D33" s="215">
        <v>75</v>
      </c>
      <c r="E33" s="215">
        <v>75</v>
      </c>
      <c r="F33" s="215">
        <v>75</v>
      </c>
      <c r="G33" s="215">
        <v>75</v>
      </c>
      <c r="H33" s="215">
        <v>75</v>
      </c>
      <c r="I33" s="180" t="s">
        <v>10</v>
      </c>
    </row>
    <row r="34" spans="2:20" x14ac:dyDescent="0.25">
      <c r="B34" s="183"/>
      <c r="C34" s="118" t="s">
        <v>108</v>
      </c>
      <c r="D34" s="214">
        <v>75</v>
      </c>
      <c r="E34" s="214">
        <v>75</v>
      </c>
      <c r="F34" s="214">
        <v>75</v>
      </c>
      <c r="G34" s="214">
        <v>75</v>
      </c>
      <c r="H34" s="214">
        <v>75</v>
      </c>
      <c r="I34" s="182" t="s">
        <v>10</v>
      </c>
    </row>
    <row r="35" spans="2:20" x14ac:dyDescent="0.25">
      <c r="B35" s="183"/>
      <c r="C35" s="118" t="s">
        <v>109</v>
      </c>
      <c r="D35" s="214">
        <v>75</v>
      </c>
      <c r="E35" s="214">
        <v>75</v>
      </c>
      <c r="F35" s="214">
        <v>75</v>
      </c>
      <c r="G35" s="214">
        <v>75</v>
      </c>
      <c r="H35" s="214">
        <v>75</v>
      </c>
      <c r="I35" s="182" t="s">
        <v>10</v>
      </c>
    </row>
    <row r="36" spans="2:20" x14ac:dyDescent="0.25">
      <c r="B36" s="183"/>
      <c r="C36" s="118" t="s">
        <v>110</v>
      </c>
      <c r="D36" s="214">
        <v>75</v>
      </c>
      <c r="E36" s="214">
        <v>75</v>
      </c>
      <c r="F36" s="214">
        <v>75</v>
      </c>
      <c r="G36" s="214">
        <v>75</v>
      </c>
      <c r="H36" s="214">
        <v>75</v>
      </c>
      <c r="I36" s="182" t="s">
        <v>10</v>
      </c>
    </row>
    <row r="37" spans="2:20" x14ac:dyDescent="0.25">
      <c r="B37" s="184"/>
      <c r="C37" s="196" t="s">
        <v>111</v>
      </c>
      <c r="D37" s="198">
        <f>AVERAGE(D33:D36)</f>
        <v>75</v>
      </c>
      <c r="E37" s="198">
        <f>AVERAGE(E33:E36)</f>
        <v>75</v>
      </c>
      <c r="F37" s="198">
        <f>AVERAGE(F33:F36)</f>
        <v>75</v>
      </c>
      <c r="G37" s="198">
        <f>AVERAGE(G33:G36)</f>
        <v>75</v>
      </c>
      <c r="H37" s="198">
        <f>AVERAGE(H33:H36)</f>
        <v>75</v>
      </c>
      <c r="I37" s="197" t="s">
        <v>10</v>
      </c>
    </row>
    <row r="38" spans="2:20" x14ac:dyDescent="0.25">
      <c r="B38" s="63"/>
      <c r="C38" s="63"/>
      <c r="D38" s="63"/>
      <c r="E38" s="63"/>
      <c r="F38" s="63"/>
      <c r="G38" s="63"/>
      <c r="H38" s="63"/>
      <c r="I38" s="63"/>
      <c r="L38" s="5"/>
      <c r="M38" s="5"/>
      <c r="N38" s="5"/>
    </row>
    <row r="39" spans="2:20" x14ac:dyDescent="0.25">
      <c r="B39" s="186" t="s">
        <v>203</v>
      </c>
      <c r="C39" s="179" t="s">
        <v>107</v>
      </c>
      <c r="D39" s="215">
        <v>20</v>
      </c>
      <c r="E39" s="215">
        <v>0</v>
      </c>
      <c r="F39" s="215">
        <v>0</v>
      </c>
      <c r="G39" s="215">
        <v>0</v>
      </c>
      <c r="H39" s="215">
        <v>0</v>
      </c>
      <c r="I39" s="180" t="s">
        <v>172</v>
      </c>
      <c r="L39" s="5"/>
      <c r="M39" s="5"/>
      <c r="N39" s="5"/>
      <c r="O39" s="5"/>
      <c r="P39" s="5"/>
      <c r="Q39" s="5"/>
      <c r="R39" s="5"/>
      <c r="S39" s="5"/>
      <c r="T39" s="5"/>
    </row>
    <row r="40" spans="2:20" x14ac:dyDescent="0.25">
      <c r="B40" s="183"/>
      <c r="C40" s="118" t="s">
        <v>108</v>
      </c>
      <c r="D40" s="214">
        <v>20</v>
      </c>
      <c r="E40" s="214">
        <v>0</v>
      </c>
      <c r="F40" s="214">
        <v>0</v>
      </c>
      <c r="G40" s="214">
        <v>0</v>
      </c>
      <c r="H40" s="214">
        <v>0</v>
      </c>
      <c r="I40" s="182" t="s">
        <v>172</v>
      </c>
      <c r="L40" s="5"/>
      <c r="M40" s="60"/>
      <c r="N40" s="76"/>
      <c r="O40" s="5"/>
      <c r="P40" s="5"/>
      <c r="Q40" s="5"/>
      <c r="R40" s="5"/>
      <c r="S40" s="5"/>
      <c r="T40" s="5"/>
    </row>
    <row r="41" spans="2:20" x14ac:dyDescent="0.25">
      <c r="B41" s="183"/>
      <c r="C41" s="118" t="s">
        <v>109</v>
      </c>
      <c r="D41" s="214">
        <v>20</v>
      </c>
      <c r="E41" s="214">
        <v>0</v>
      </c>
      <c r="F41" s="214">
        <v>0</v>
      </c>
      <c r="G41" s="214">
        <v>0</v>
      </c>
      <c r="H41" s="214">
        <v>0</v>
      </c>
      <c r="I41" s="182" t="s">
        <v>172</v>
      </c>
      <c r="L41" s="5"/>
      <c r="M41" s="5"/>
      <c r="N41" s="76"/>
      <c r="O41" s="214"/>
      <c r="P41" s="5"/>
      <c r="Q41" s="5"/>
      <c r="R41" s="5"/>
      <c r="S41" s="5"/>
      <c r="T41" s="5"/>
    </row>
    <row r="42" spans="2:20" x14ac:dyDescent="0.25">
      <c r="B42" s="183"/>
      <c r="C42" s="118" t="s">
        <v>110</v>
      </c>
      <c r="D42" s="214">
        <v>20</v>
      </c>
      <c r="E42" s="214">
        <v>0</v>
      </c>
      <c r="F42" s="214">
        <v>0</v>
      </c>
      <c r="G42" s="214">
        <v>0</v>
      </c>
      <c r="H42" s="214">
        <v>0</v>
      </c>
      <c r="I42" s="182" t="s">
        <v>172</v>
      </c>
      <c r="L42" s="5"/>
      <c r="M42" s="5"/>
      <c r="N42" s="76"/>
      <c r="O42" s="214"/>
      <c r="P42" s="5"/>
      <c r="Q42" s="5"/>
      <c r="R42" s="5"/>
      <c r="S42" s="5"/>
      <c r="T42" s="5"/>
    </row>
    <row r="43" spans="2:20" x14ac:dyDescent="0.25">
      <c r="B43" s="184"/>
      <c r="C43" s="196" t="s">
        <v>111</v>
      </c>
      <c r="D43" s="198">
        <f>AVERAGE(D39:D42)</f>
        <v>20</v>
      </c>
      <c r="E43" s="198">
        <f>AVERAGE(E39:E42)</f>
        <v>0</v>
      </c>
      <c r="F43" s="198">
        <f>AVERAGE(F39:F42)</f>
        <v>0</v>
      </c>
      <c r="G43" s="198">
        <f>AVERAGE(G39:G42)</f>
        <v>0</v>
      </c>
      <c r="H43" s="198">
        <f>AVERAGE(H39:H42)</f>
        <v>0</v>
      </c>
      <c r="I43" s="197" t="s">
        <v>172</v>
      </c>
      <c r="L43" s="5"/>
      <c r="M43" s="5"/>
      <c r="N43" s="76"/>
      <c r="O43" s="214"/>
      <c r="P43" s="5"/>
      <c r="Q43" s="5"/>
      <c r="R43" s="5"/>
      <c r="S43" s="5"/>
      <c r="T43" s="5"/>
    </row>
    <row r="44" spans="2:20" x14ac:dyDescent="0.25">
      <c r="B44" s="63"/>
      <c r="C44" s="63"/>
      <c r="D44" s="63"/>
      <c r="E44" s="63"/>
      <c r="F44" s="63"/>
      <c r="G44" s="63"/>
      <c r="H44" s="63"/>
      <c r="I44" s="63"/>
      <c r="L44" s="5"/>
      <c r="M44" s="5"/>
      <c r="N44" s="223"/>
      <c r="O44" s="214"/>
      <c r="P44" s="5"/>
      <c r="Q44" s="5"/>
      <c r="R44" s="5"/>
      <c r="S44" s="5"/>
      <c r="T44" s="5"/>
    </row>
    <row r="45" spans="2:20" x14ac:dyDescent="0.25">
      <c r="B45" s="63"/>
      <c r="C45" s="63"/>
      <c r="D45" s="118" t="s">
        <v>443</v>
      </c>
      <c r="E45" s="118"/>
      <c r="F45" s="118" t="s">
        <v>444</v>
      </c>
      <c r="G45" s="63"/>
      <c r="H45" s="63"/>
      <c r="I45" s="63"/>
      <c r="L45" s="5"/>
      <c r="M45" s="5"/>
      <c r="N45" s="76"/>
      <c r="O45" s="224"/>
      <c r="P45" s="224"/>
      <c r="Q45" s="224"/>
      <c r="R45" s="224"/>
      <c r="S45" s="224"/>
      <c r="T45" s="224"/>
    </row>
    <row r="46" spans="2:20" x14ac:dyDescent="0.25">
      <c r="B46" s="190" t="s">
        <v>38</v>
      </c>
      <c r="C46" s="179"/>
      <c r="D46" s="220">
        <v>0</v>
      </c>
      <c r="E46" s="191"/>
      <c r="F46" s="516">
        <v>0</v>
      </c>
      <c r="G46" s="191"/>
      <c r="H46" s="179"/>
      <c r="I46" s="192" t="s">
        <v>40</v>
      </c>
      <c r="L46" s="5"/>
      <c r="M46" s="60"/>
      <c r="N46" s="76"/>
      <c r="O46" s="5"/>
      <c r="P46" s="5"/>
      <c r="Q46" s="5"/>
      <c r="R46" s="5"/>
      <c r="S46" s="5"/>
      <c r="T46" s="5"/>
    </row>
    <row r="47" spans="2:20" x14ac:dyDescent="0.25">
      <c r="B47" s="193" t="s">
        <v>39</v>
      </c>
      <c r="C47" s="185"/>
      <c r="D47" s="221">
        <v>0</v>
      </c>
      <c r="E47" s="194"/>
      <c r="F47" s="517">
        <v>200</v>
      </c>
      <c r="G47" s="194"/>
      <c r="H47" s="185"/>
      <c r="I47" s="195" t="s">
        <v>40</v>
      </c>
      <c r="L47" s="5"/>
      <c r="M47" s="5"/>
      <c r="N47" s="76"/>
      <c r="O47" s="214"/>
      <c r="P47" s="5"/>
      <c r="Q47" s="5"/>
      <c r="R47" s="5"/>
      <c r="S47" s="5"/>
      <c r="T47" s="5"/>
    </row>
    <row r="48" spans="2:20" x14ac:dyDescent="0.25">
      <c r="B48" s="63"/>
      <c r="C48" s="63"/>
      <c r="D48" s="63"/>
      <c r="E48" s="63"/>
      <c r="F48" s="63"/>
      <c r="G48" s="63"/>
      <c r="H48" s="63"/>
      <c r="I48" s="63"/>
      <c r="L48" s="5"/>
      <c r="M48" s="5"/>
      <c r="N48" s="76"/>
      <c r="O48" s="214"/>
      <c r="P48" s="5"/>
      <c r="Q48" s="5"/>
      <c r="R48" s="5"/>
      <c r="S48" s="5"/>
      <c r="T48" s="5"/>
    </row>
    <row r="49" spans="2:20" x14ac:dyDescent="0.25">
      <c r="B49" s="63"/>
      <c r="C49" s="63"/>
      <c r="D49" s="118" t="s">
        <v>443</v>
      </c>
      <c r="E49" s="118"/>
      <c r="F49" s="118" t="s">
        <v>444</v>
      </c>
      <c r="G49" s="63"/>
      <c r="H49" s="63"/>
      <c r="I49" s="63"/>
      <c r="L49" s="5"/>
      <c r="M49" s="5"/>
      <c r="N49" s="76"/>
      <c r="O49" s="214"/>
      <c r="P49" s="5"/>
      <c r="Q49" s="5"/>
      <c r="R49" s="5"/>
      <c r="S49" s="5"/>
      <c r="T49" s="5"/>
    </row>
    <row r="50" spans="2:20" x14ac:dyDescent="0.25">
      <c r="B50" s="186" t="s">
        <v>192</v>
      </c>
      <c r="C50" s="187" t="s">
        <v>107</v>
      </c>
      <c r="D50" s="215">
        <v>0</v>
      </c>
      <c r="E50" s="179"/>
      <c r="F50" s="259">
        <v>0</v>
      </c>
      <c r="G50" s="179"/>
      <c r="H50" s="179"/>
      <c r="I50" s="180" t="s">
        <v>194</v>
      </c>
      <c r="L50" s="5"/>
      <c r="M50" s="5"/>
      <c r="N50" s="223"/>
      <c r="O50" s="214"/>
      <c r="P50" s="5"/>
      <c r="Q50" s="5"/>
      <c r="R50" s="5"/>
      <c r="S50" s="5"/>
      <c r="T50" s="5"/>
    </row>
    <row r="51" spans="2:20" x14ac:dyDescent="0.25">
      <c r="B51" s="183"/>
      <c r="C51" s="132" t="s">
        <v>108</v>
      </c>
      <c r="D51" s="214">
        <v>0</v>
      </c>
      <c r="E51" s="118"/>
      <c r="F51" s="5">
        <v>0</v>
      </c>
      <c r="G51" s="118"/>
      <c r="H51" s="118"/>
      <c r="I51" s="182" t="s">
        <v>194</v>
      </c>
      <c r="L51" s="5"/>
      <c r="M51" s="5"/>
      <c r="N51" s="5"/>
      <c r="O51" s="224"/>
      <c r="P51" s="224"/>
      <c r="Q51" s="224"/>
      <c r="R51" s="224"/>
      <c r="S51" s="224"/>
      <c r="T51" s="224"/>
    </row>
    <row r="52" spans="2:20" x14ac:dyDescent="0.25">
      <c r="B52" s="183"/>
      <c r="C52" s="132" t="s">
        <v>109</v>
      </c>
      <c r="D52" s="214">
        <v>0</v>
      </c>
      <c r="E52" s="118"/>
      <c r="F52" s="5">
        <v>0</v>
      </c>
      <c r="G52" s="118"/>
      <c r="H52" s="118"/>
      <c r="I52" s="182" t="s">
        <v>194</v>
      </c>
      <c r="L52" s="5"/>
      <c r="M52" s="5"/>
      <c r="N52" s="5"/>
      <c r="O52" s="5"/>
      <c r="P52" s="5"/>
      <c r="Q52" s="5"/>
      <c r="R52" s="5"/>
      <c r="S52" s="5"/>
      <c r="T52" s="5"/>
    </row>
    <row r="53" spans="2:20" x14ac:dyDescent="0.25">
      <c r="B53" s="183"/>
      <c r="C53" s="132" t="s">
        <v>110</v>
      </c>
      <c r="D53" s="214">
        <v>0</v>
      </c>
      <c r="E53" s="118"/>
      <c r="F53" s="5">
        <v>0</v>
      </c>
      <c r="G53" s="118"/>
      <c r="H53" s="118"/>
      <c r="I53" s="182" t="s">
        <v>194</v>
      </c>
      <c r="L53" s="5"/>
      <c r="M53" s="5"/>
      <c r="N53" s="5"/>
      <c r="O53" s="5"/>
      <c r="P53" s="5"/>
      <c r="Q53" s="5"/>
      <c r="R53" s="5"/>
      <c r="S53" s="5"/>
      <c r="T53" s="5"/>
    </row>
    <row r="54" spans="2:20" x14ac:dyDescent="0.25">
      <c r="B54" s="184"/>
      <c r="C54" s="200" t="s">
        <v>6</v>
      </c>
      <c r="D54" s="185">
        <f>SUM(D50:D53)</f>
        <v>0</v>
      </c>
      <c r="E54" s="185"/>
      <c r="F54" s="185">
        <f>SUM(F50:F53)</f>
        <v>0</v>
      </c>
      <c r="G54" s="185"/>
      <c r="H54" s="185"/>
      <c r="I54" s="225" t="s">
        <v>194</v>
      </c>
      <c r="O54" s="5"/>
      <c r="P54" s="5"/>
      <c r="Q54" s="5"/>
      <c r="R54" s="5"/>
      <c r="S54" s="5"/>
      <c r="T54" s="5"/>
    </row>
    <row r="55" spans="2:20" x14ac:dyDescent="0.25">
      <c r="B55" s="63"/>
      <c r="C55" s="63"/>
      <c r="D55" s="63"/>
      <c r="E55" s="63"/>
      <c r="F55" s="63"/>
      <c r="G55" s="63"/>
      <c r="H55" s="63"/>
      <c r="I55" s="63"/>
    </row>
    <row r="56" spans="2:20" x14ac:dyDescent="0.25">
      <c r="B56" s="63"/>
      <c r="C56" s="63"/>
      <c r="D56" s="118" t="s">
        <v>443</v>
      </c>
      <c r="E56" s="118"/>
      <c r="F56" s="118" t="s">
        <v>444</v>
      </c>
      <c r="G56" s="63"/>
      <c r="H56" s="63"/>
      <c r="I56" s="63"/>
    </row>
    <row r="57" spans="2:20" x14ac:dyDescent="0.25">
      <c r="B57" s="186" t="s">
        <v>193</v>
      </c>
      <c r="C57" s="187" t="s">
        <v>107</v>
      </c>
      <c r="D57" s="215">
        <v>0</v>
      </c>
      <c r="E57" s="179"/>
      <c r="F57" s="259">
        <v>0</v>
      </c>
      <c r="G57" s="179"/>
      <c r="H57" s="179"/>
      <c r="I57" s="180" t="s">
        <v>194</v>
      </c>
    </row>
    <row r="58" spans="2:20" x14ac:dyDescent="0.25">
      <c r="B58" s="183"/>
      <c r="C58" s="132" t="s">
        <v>108</v>
      </c>
      <c r="D58" s="214">
        <v>0</v>
      </c>
      <c r="E58" s="118"/>
      <c r="F58" s="5">
        <v>0</v>
      </c>
      <c r="G58" s="118"/>
      <c r="H58" s="118"/>
      <c r="I58" s="182" t="s">
        <v>194</v>
      </c>
    </row>
    <row r="59" spans="2:20" x14ac:dyDescent="0.25">
      <c r="B59" s="183"/>
      <c r="C59" s="132" t="s">
        <v>109</v>
      </c>
      <c r="D59" s="214">
        <v>0</v>
      </c>
      <c r="E59" s="118"/>
      <c r="F59" s="5">
        <v>200</v>
      </c>
      <c r="G59" s="118"/>
      <c r="H59" s="118"/>
      <c r="I59" s="182" t="s">
        <v>194</v>
      </c>
    </row>
    <row r="60" spans="2:20" x14ac:dyDescent="0.25">
      <c r="B60" s="183"/>
      <c r="C60" s="132" t="s">
        <v>110</v>
      </c>
      <c r="D60" s="214">
        <v>0</v>
      </c>
      <c r="E60" s="118"/>
      <c r="F60" s="5">
        <v>0</v>
      </c>
      <c r="G60" s="118"/>
      <c r="H60" s="118"/>
      <c r="I60" s="182" t="s">
        <v>194</v>
      </c>
    </row>
    <row r="61" spans="2:20" x14ac:dyDescent="0.25">
      <c r="B61" s="184"/>
      <c r="C61" s="200" t="s">
        <v>6</v>
      </c>
      <c r="D61" s="185">
        <f>SUM(D57:D60)</f>
        <v>0</v>
      </c>
      <c r="E61" s="185"/>
      <c r="F61" s="185">
        <f>SUM(F57:F60)</f>
        <v>200</v>
      </c>
      <c r="G61" s="185"/>
      <c r="H61" s="185"/>
      <c r="I61" s="225" t="s">
        <v>194</v>
      </c>
    </row>
    <row r="62" spans="2:20" x14ac:dyDescent="0.25">
      <c r="B62" s="118"/>
      <c r="C62" s="297"/>
      <c r="D62" s="118"/>
      <c r="E62" s="118"/>
      <c r="F62" s="118"/>
      <c r="G62" s="118"/>
      <c r="H62" s="118"/>
      <c r="I62" s="118"/>
    </row>
    <row r="63" spans="2:20" x14ac:dyDescent="0.25">
      <c r="B63" s="118"/>
      <c r="C63" s="297"/>
      <c r="D63" s="118" t="s">
        <v>443</v>
      </c>
      <c r="E63" s="118"/>
      <c r="F63" s="118" t="s">
        <v>444</v>
      </c>
      <c r="G63" s="118"/>
      <c r="H63" s="118"/>
      <c r="I63" s="118"/>
    </row>
    <row r="64" spans="2:20" x14ac:dyDescent="0.25">
      <c r="B64" s="186" t="s">
        <v>280</v>
      </c>
      <c r="C64" s="187" t="s">
        <v>107</v>
      </c>
      <c r="D64" s="215">
        <v>0</v>
      </c>
      <c r="E64" s="179"/>
      <c r="F64" s="259">
        <v>0</v>
      </c>
      <c r="G64" s="179"/>
      <c r="H64" s="179"/>
      <c r="I64" s="180" t="s">
        <v>194</v>
      </c>
    </row>
    <row r="65" spans="2:9" x14ac:dyDescent="0.25">
      <c r="B65" s="183"/>
      <c r="C65" s="132" t="s">
        <v>108</v>
      </c>
      <c r="D65" s="214">
        <v>0</v>
      </c>
      <c r="E65" s="118"/>
      <c r="F65" s="5">
        <v>0</v>
      </c>
      <c r="G65" s="118"/>
      <c r="H65" s="118"/>
      <c r="I65" s="182" t="s">
        <v>194</v>
      </c>
    </row>
    <row r="66" spans="2:9" x14ac:dyDescent="0.25">
      <c r="B66" s="183"/>
      <c r="C66" s="132" t="s">
        <v>109</v>
      </c>
      <c r="D66" s="214">
        <v>0</v>
      </c>
      <c r="E66" s="118"/>
      <c r="F66" s="5">
        <v>0</v>
      </c>
      <c r="G66" s="118"/>
      <c r="H66" s="118"/>
      <c r="I66" s="182" t="s">
        <v>194</v>
      </c>
    </row>
    <row r="67" spans="2:9" x14ac:dyDescent="0.25">
      <c r="B67" s="183"/>
      <c r="C67" s="132" t="s">
        <v>110</v>
      </c>
      <c r="D67" s="214">
        <v>0</v>
      </c>
      <c r="E67" s="118"/>
      <c r="F67" s="5">
        <v>0</v>
      </c>
      <c r="G67" s="118"/>
      <c r="H67" s="118"/>
      <c r="I67" s="182" t="s">
        <v>194</v>
      </c>
    </row>
    <row r="68" spans="2:9" x14ac:dyDescent="0.25">
      <c r="B68" s="184"/>
      <c r="C68" s="200" t="s">
        <v>6</v>
      </c>
      <c r="D68" s="185">
        <f>SUM(D64:D67)</f>
        <v>0</v>
      </c>
      <c r="E68" s="185"/>
      <c r="F68" s="185">
        <f>SUM(F64:F67)</f>
        <v>0</v>
      </c>
      <c r="G68" s="185"/>
      <c r="H68" s="185"/>
      <c r="I68" s="225" t="s">
        <v>194</v>
      </c>
    </row>
    <row r="69" spans="2:9" x14ac:dyDescent="0.25">
      <c r="B69" s="63"/>
      <c r="C69" s="63"/>
      <c r="D69" s="63"/>
      <c r="E69" s="63"/>
      <c r="F69" s="63"/>
      <c r="G69" s="63"/>
      <c r="H69" s="63"/>
      <c r="I69" s="63"/>
    </row>
    <row r="70" spans="2:9" x14ac:dyDescent="0.25">
      <c r="B70" s="63"/>
      <c r="C70" s="63"/>
      <c r="D70" s="118" t="s">
        <v>443</v>
      </c>
      <c r="E70" s="118"/>
      <c r="F70" s="118" t="s">
        <v>444</v>
      </c>
      <c r="G70" s="63"/>
      <c r="H70" s="63"/>
      <c r="I70" s="63"/>
    </row>
    <row r="71" spans="2:9" x14ac:dyDescent="0.25">
      <c r="B71" s="186" t="s">
        <v>281</v>
      </c>
      <c r="C71" s="187" t="s">
        <v>107</v>
      </c>
      <c r="D71" s="215">
        <v>0</v>
      </c>
      <c r="E71" s="179"/>
      <c r="F71" s="259">
        <v>0</v>
      </c>
      <c r="G71" s="179"/>
      <c r="H71" s="179"/>
      <c r="I71" s="180" t="s">
        <v>194</v>
      </c>
    </row>
    <row r="72" spans="2:9" x14ac:dyDescent="0.25">
      <c r="B72" s="183"/>
      <c r="C72" s="132" t="s">
        <v>108</v>
      </c>
      <c r="D72" s="214">
        <v>0</v>
      </c>
      <c r="E72" s="118"/>
      <c r="F72" s="5">
        <v>0</v>
      </c>
      <c r="G72" s="118"/>
      <c r="H72" s="118"/>
      <c r="I72" s="182" t="s">
        <v>194</v>
      </c>
    </row>
    <row r="73" spans="2:9" x14ac:dyDescent="0.25">
      <c r="B73" s="183"/>
      <c r="C73" s="132" t="s">
        <v>109</v>
      </c>
      <c r="D73" s="214">
        <v>0</v>
      </c>
      <c r="E73" s="118"/>
      <c r="F73" s="5">
        <v>0</v>
      </c>
      <c r="G73" s="118"/>
      <c r="H73" s="118"/>
      <c r="I73" s="182" t="s">
        <v>194</v>
      </c>
    </row>
    <row r="74" spans="2:9" x14ac:dyDescent="0.25">
      <c r="B74" s="183"/>
      <c r="C74" s="132" t="s">
        <v>110</v>
      </c>
      <c r="D74" s="214">
        <v>0</v>
      </c>
      <c r="E74" s="118"/>
      <c r="F74" s="5">
        <v>0</v>
      </c>
      <c r="G74" s="118"/>
      <c r="H74" s="118"/>
      <c r="I74" s="182" t="s">
        <v>194</v>
      </c>
    </row>
    <row r="75" spans="2:9" x14ac:dyDescent="0.25">
      <c r="B75" s="184"/>
      <c r="C75" s="200" t="s">
        <v>6</v>
      </c>
      <c r="D75" s="185">
        <f>SUM(D71:D74)</f>
        <v>0</v>
      </c>
      <c r="E75" s="185"/>
      <c r="F75" s="185">
        <f>SUM(F71:F74)</f>
        <v>0</v>
      </c>
      <c r="G75" s="185"/>
      <c r="H75" s="185"/>
      <c r="I75" s="225" t="s">
        <v>194</v>
      </c>
    </row>
    <row r="76" spans="2:9" x14ac:dyDescent="0.25">
      <c r="B76" s="118"/>
      <c r="C76" s="297"/>
      <c r="D76" s="118"/>
      <c r="E76" s="118"/>
      <c r="F76" s="118"/>
      <c r="G76" s="118"/>
      <c r="H76" s="118"/>
      <c r="I76" s="118"/>
    </row>
    <row r="77" spans="2:9" x14ac:dyDescent="0.25">
      <c r="B77" s="557" t="s">
        <v>779</v>
      </c>
      <c r="C77" s="558"/>
      <c r="D77" s="559">
        <v>200</v>
      </c>
      <c r="E77" s="558"/>
      <c r="F77" s="559">
        <v>200</v>
      </c>
      <c r="G77" s="558"/>
      <c r="H77" s="558"/>
      <c r="I77" s="560" t="s">
        <v>194</v>
      </c>
    </row>
    <row r="78" spans="2:9" x14ac:dyDescent="0.25">
      <c r="B78" s="561" t="s">
        <v>780</v>
      </c>
      <c r="C78" s="562"/>
      <c r="D78" s="563">
        <v>200</v>
      </c>
      <c r="E78" s="562"/>
      <c r="F78" s="563">
        <v>200</v>
      </c>
      <c r="G78" s="562"/>
      <c r="H78" s="562"/>
      <c r="I78" s="564" t="s">
        <v>194</v>
      </c>
    </row>
    <row r="79" spans="2:9" x14ac:dyDescent="0.25">
      <c r="B79" s="82"/>
      <c r="C79" s="118"/>
      <c r="D79" s="118"/>
      <c r="E79" s="118"/>
      <c r="F79" s="118"/>
      <c r="G79" s="118"/>
      <c r="H79" s="118"/>
      <c r="I79" s="118"/>
    </row>
    <row r="80" spans="2:9" x14ac:dyDescent="0.25">
      <c r="B80" s="186" t="s">
        <v>344</v>
      </c>
      <c r="C80" s="179" t="s">
        <v>345</v>
      </c>
      <c r="D80" s="259">
        <v>20</v>
      </c>
      <c r="E80" s="179"/>
      <c r="F80" s="179"/>
      <c r="G80" s="179"/>
      <c r="H80" s="179"/>
      <c r="I80" s="180" t="s">
        <v>335</v>
      </c>
    </row>
    <row r="81" spans="2:11" x14ac:dyDescent="0.25">
      <c r="B81" s="339"/>
      <c r="C81" s="185" t="s">
        <v>294</v>
      </c>
      <c r="D81" s="266">
        <v>0.9</v>
      </c>
      <c r="E81" s="185"/>
      <c r="F81" s="185"/>
      <c r="G81" s="185"/>
      <c r="H81" s="185"/>
      <c r="I81" s="225"/>
    </row>
    <row r="82" spans="2:11" x14ac:dyDescent="0.25">
      <c r="B82" s="118"/>
      <c r="C82" s="297"/>
      <c r="D82" s="118"/>
      <c r="E82" s="118"/>
      <c r="F82" s="118"/>
      <c r="G82" s="118"/>
      <c r="H82" s="118"/>
      <c r="I82" s="118"/>
    </row>
    <row r="83" spans="2:11" x14ac:dyDescent="0.25">
      <c r="B83" s="82" t="s">
        <v>378</v>
      </c>
      <c r="C83" s="118" t="s">
        <v>364</v>
      </c>
      <c r="D83" s="264">
        <v>1</v>
      </c>
      <c r="E83" s="118"/>
      <c r="F83" s="118"/>
      <c r="G83" s="118"/>
      <c r="H83" s="118"/>
      <c r="I83" s="118"/>
    </row>
    <row r="84" spans="2:11" x14ac:dyDescent="0.25">
      <c r="B84" s="82"/>
      <c r="C84" s="118"/>
      <c r="D84" s="118"/>
      <c r="E84" s="118"/>
      <c r="F84" s="118"/>
      <c r="G84" s="118"/>
      <c r="H84" s="118"/>
      <c r="I84" s="118"/>
    </row>
    <row r="85" spans="2:11" x14ac:dyDescent="0.25">
      <c r="B85" s="186" t="s">
        <v>31</v>
      </c>
      <c r="C85" s="180"/>
      <c r="D85" s="363">
        <v>0</v>
      </c>
      <c r="E85" s="179"/>
      <c r="F85" s="179"/>
      <c r="G85" s="179"/>
      <c r="H85" s="179"/>
      <c r="I85" s="180" t="s">
        <v>29</v>
      </c>
    </row>
    <row r="86" spans="2:11" x14ac:dyDescent="0.25">
      <c r="B86" s="181" t="s">
        <v>379</v>
      </c>
      <c r="C86" s="118"/>
      <c r="D86" s="364">
        <v>0</v>
      </c>
      <c r="E86" s="118"/>
      <c r="F86" s="118"/>
      <c r="G86" s="118"/>
      <c r="H86" s="118"/>
      <c r="I86" s="182"/>
    </row>
    <row r="87" spans="2:11" x14ac:dyDescent="0.25">
      <c r="B87" s="339" t="s">
        <v>4</v>
      </c>
      <c r="C87" s="225"/>
      <c r="D87" s="365">
        <v>0</v>
      </c>
      <c r="E87" s="185"/>
      <c r="F87" s="185"/>
      <c r="G87" s="185"/>
      <c r="H87" s="185"/>
      <c r="I87" s="225" t="s">
        <v>30</v>
      </c>
    </row>
    <row r="88" spans="2:11" x14ac:dyDescent="0.25">
      <c r="B88" s="118"/>
      <c r="C88" s="297"/>
      <c r="D88" s="118"/>
      <c r="E88" s="118"/>
      <c r="F88" s="118"/>
      <c r="G88" s="118"/>
      <c r="H88" s="118"/>
      <c r="I88" s="118"/>
    </row>
    <row r="89" spans="2:11" x14ac:dyDescent="0.25">
      <c r="B89" s="366" t="s">
        <v>380</v>
      </c>
      <c r="C89" s="367"/>
      <c r="D89" s="368"/>
      <c r="E89" s="368"/>
      <c r="F89" s="368"/>
      <c r="G89" s="368"/>
      <c r="H89" s="368"/>
      <c r="I89" s="368"/>
    </row>
    <row r="90" spans="2:11" x14ac:dyDescent="0.25">
      <c r="B90" s="369" t="s">
        <v>381</v>
      </c>
      <c r="C90" s="370"/>
      <c r="D90" s="371">
        <v>0</v>
      </c>
      <c r="E90" s="370"/>
      <c r="F90" s="370"/>
      <c r="G90" s="370"/>
      <c r="H90" s="370"/>
      <c r="I90" s="372" t="s">
        <v>382</v>
      </c>
    </row>
    <row r="91" spans="2:11" x14ac:dyDescent="0.25">
      <c r="B91" s="373"/>
      <c r="C91" s="367"/>
      <c r="D91" s="368"/>
      <c r="E91" s="368"/>
      <c r="F91" s="368"/>
      <c r="G91" s="368"/>
      <c r="H91" s="368"/>
      <c r="I91" s="374"/>
    </row>
    <row r="92" spans="2:11" x14ac:dyDescent="0.25">
      <c r="B92" s="373" t="s">
        <v>383</v>
      </c>
      <c r="C92" s="368"/>
      <c r="D92" s="375">
        <v>1</v>
      </c>
      <c r="E92" s="368"/>
      <c r="F92" s="368"/>
      <c r="G92" s="368"/>
      <c r="H92" s="368"/>
      <c r="I92" s="374" t="s">
        <v>384</v>
      </c>
    </row>
    <row r="93" spans="2:11" x14ac:dyDescent="0.25">
      <c r="B93" s="376"/>
      <c r="C93" s="377"/>
      <c r="D93" s="378"/>
      <c r="E93" s="378"/>
      <c r="F93" s="378"/>
      <c r="G93" s="378"/>
      <c r="H93" s="378"/>
      <c r="I93" s="379"/>
    </row>
    <row r="94" spans="2:11" x14ac:dyDescent="0.25">
      <c r="B94" s="118"/>
      <c r="C94" s="118"/>
      <c r="D94" s="118"/>
      <c r="E94" s="118"/>
      <c r="F94" s="118"/>
      <c r="G94" s="118"/>
      <c r="H94" s="118"/>
      <c r="I94" s="118"/>
      <c r="J94" s="1"/>
      <c r="K94" s="1"/>
    </row>
    <row r="95" spans="2:11" x14ac:dyDescent="0.25">
      <c r="B95" s="63"/>
      <c r="C95" s="63"/>
      <c r="D95" s="63"/>
      <c r="E95" s="63"/>
      <c r="F95" s="63"/>
      <c r="G95" s="63"/>
      <c r="H95" s="63"/>
      <c r="I95" s="63"/>
      <c r="J95" s="1"/>
      <c r="K95" s="1"/>
    </row>
    <row r="96" spans="2:11" x14ac:dyDescent="0.25">
      <c r="B96" s="118"/>
      <c r="C96" s="289" t="s">
        <v>185</v>
      </c>
      <c r="D96" s="289" t="s">
        <v>272</v>
      </c>
      <c r="E96" s="289" t="s">
        <v>263</v>
      </c>
      <c r="F96" s="289" t="s">
        <v>264</v>
      </c>
      <c r="G96" s="289" t="s">
        <v>273</v>
      </c>
      <c r="H96" s="63"/>
      <c r="I96" s="63"/>
    </row>
    <row r="97" spans="1:9" x14ac:dyDescent="0.25">
      <c r="B97" s="188" t="s">
        <v>146</v>
      </c>
      <c r="C97" s="216">
        <v>84.29</v>
      </c>
      <c r="D97" s="216">
        <v>11.6</v>
      </c>
      <c r="E97" s="216">
        <v>1.1000000000000001</v>
      </c>
      <c r="F97" s="216">
        <v>0.55000000000000004</v>
      </c>
      <c r="G97" s="217">
        <v>2.46</v>
      </c>
      <c r="H97" s="63" t="s">
        <v>186</v>
      </c>
      <c r="I97" s="63"/>
    </row>
    <row r="98" spans="1:9" x14ac:dyDescent="0.25">
      <c r="B98" s="189" t="s">
        <v>147</v>
      </c>
      <c r="C98" s="218">
        <v>100</v>
      </c>
      <c r="D98" s="218">
        <v>0</v>
      </c>
      <c r="E98" s="218">
        <v>0</v>
      </c>
      <c r="F98" s="218">
        <f>'Data input'!F137</f>
        <v>0</v>
      </c>
      <c r="G98" s="219">
        <v>0</v>
      </c>
      <c r="H98" s="63" t="s">
        <v>186</v>
      </c>
      <c r="I98" s="63"/>
    </row>
    <row r="99" spans="1:9" x14ac:dyDescent="0.25">
      <c r="B99" s="63"/>
      <c r="C99" s="63"/>
      <c r="D99" s="63"/>
      <c r="E99" s="63"/>
      <c r="F99" s="63"/>
      <c r="G99" s="63"/>
      <c r="H99" s="63"/>
      <c r="I99" s="63"/>
    </row>
    <row r="102" spans="1:9" x14ac:dyDescent="0.25">
      <c r="C102" s="3" t="s">
        <v>185</v>
      </c>
      <c r="D102" s="3" t="s">
        <v>818</v>
      </c>
      <c r="E102" s="3" t="s">
        <v>819</v>
      </c>
      <c r="F102" s="3" t="s">
        <v>820</v>
      </c>
      <c r="G102" s="3" t="s">
        <v>821</v>
      </c>
    </row>
    <row r="103" spans="1:9" x14ac:dyDescent="0.25">
      <c r="A103" s="3">
        <v>1</v>
      </c>
      <c r="B103" s="3" t="s">
        <v>822</v>
      </c>
      <c r="C103" s="14">
        <v>84.29</v>
      </c>
      <c r="D103" s="14">
        <v>11.6</v>
      </c>
      <c r="E103" s="14">
        <v>1.1000000000000001</v>
      </c>
      <c r="F103" s="14">
        <v>0.55000000000000004</v>
      </c>
      <c r="G103" s="14">
        <v>2.46</v>
      </c>
    </row>
    <row r="104" spans="1:9" x14ac:dyDescent="0.25">
      <c r="A104" s="3">
        <v>2</v>
      </c>
      <c r="B104" s="3" t="s">
        <v>823</v>
      </c>
      <c r="C104" s="14">
        <v>79.25</v>
      </c>
      <c r="D104" s="14">
        <v>12.04</v>
      </c>
      <c r="E104" s="14">
        <v>2.42</v>
      </c>
      <c r="F104" s="14">
        <v>1.21</v>
      </c>
      <c r="G104" s="14">
        <v>5.08</v>
      </c>
    </row>
    <row r="105" spans="1:9" x14ac:dyDescent="0.25">
      <c r="A105" s="3">
        <v>3</v>
      </c>
      <c r="B105" s="3" t="s">
        <v>824</v>
      </c>
      <c r="C105" s="14">
        <v>85.19</v>
      </c>
      <c r="D105" s="14">
        <v>7.98</v>
      </c>
      <c r="E105" s="14">
        <v>3.41</v>
      </c>
      <c r="F105" s="14">
        <v>1.43</v>
      </c>
      <c r="G105" s="14">
        <v>1.99</v>
      </c>
    </row>
    <row r="106" spans="1:9" x14ac:dyDescent="0.25">
      <c r="A106" s="3">
        <v>4</v>
      </c>
      <c r="B106" s="3" t="s">
        <v>825</v>
      </c>
      <c r="C106" s="14">
        <v>79.37</v>
      </c>
      <c r="D106" s="14">
        <v>9.68</v>
      </c>
      <c r="E106" s="14">
        <v>2.64</v>
      </c>
      <c r="F106" s="14">
        <v>3.3</v>
      </c>
      <c r="G106" s="14">
        <v>5.01</v>
      </c>
    </row>
    <row r="107" spans="1:9" x14ac:dyDescent="0.25">
      <c r="A107" s="3">
        <v>5</v>
      </c>
      <c r="B107" s="3" t="s">
        <v>826</v>
      </c>
      <c r="C107" s="14">
        <v>80.67</v>
      </c>
      <c r="D107" s="14">
        <v>10.81</v>
      </c>
      <c r="E107" s="14">
        <v>3.52</v>
      </c>
      <c r="F107" s="14">
        <v>0.66</v>
      </c>
      <c r="G107" s="14">
        <v>4.34</v>
      </c>
    </row>
    <row r="108" spans="1:9" x14ac:dyDescent="0.25">
      <c r="A108" s="3">
        <v>6</v>
      </c>
      <c r="B108" s="3" t="s">
        <v>827</v>
      </c>
      <c r="C108" s="14">
        <v>81.86</v>
      </c>
      <c r="D108" s="14">
        <v>10.35</v>
      </c>
      <c r="E108" s="14">
        <v>2.5299999999999998</v>
      </c>
      <c r="F108" s="14">
        <v>1.54</v>
      </c>
      <c r="G108" s="14">
        <v>3.72</v>
      </c>
    </row>
    <row r="109" spans="1:9" x14ac:dyDescent="0.25">
      <c r="A109" s="3">
        <v>7</v>
      </c>
      <c r="B109" s="3" t="s">
        <v>828</v>
      </c>
      <c r="C109" s="14">
        <v>79.37</v>
      </c>
      <c r="D109" s="14">
        <v>9.68</v>
      </c>
      <c r="E109" s="14">
        <v>2.64</v>
      </c>
      <c r="F109" s="14">
        <v>3.3</v>
      </c>
      <c r="G109" s="14">
        <v>5.01</v>
      </c>
    </row>
  </sheetData>
  <sheetProtection sheet="1" objects="1" scenarios="1"/>
  <pageMargins left="0.7" right="0.7" top="0.75" bottom="0.75" header="0.3" footer="0.3"/>
  <pageSetup paperSize="9"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543800" r:id="rId3" name="Drop Down 56">
              <controlPr defaultSize="0" autoFill="0" autoLine="0" autoPict="0">
                <anchor moveWithCells="1">
                  <from>
                    <xdr:col>3</xdr:col>
                    <xdr:colOff>714375</xdr:colOff>
                    <xdr:row>2</xdr:row>
                    <xdr:rowOff>0</xdr:rowOff>
                  </from>
                  <to>
                    <xdr:col>5</xdr:col>
                    <xdr:colOff>66675</xdr:colOff>
                    <xdr:row>3</xdr:row>
                    <xdr:rowOff>38100</xdr:rowOff>
                  </to>
                </anchor>
              </controlPr>
            </control>
          </mc:Choice>
        </mc:AlternateContent>
        <mc:AlternateContent xmlns:mc="http://schemas.openxmlformats.org/markup-compatibility/2006">
          <mc:Choice Requires="x14">
            <control shapeId="543818" r:id="rId4" name="Drop Down 74">
              <controlPr defaultSize="0" autoFill="0" autoLine="0" autoPict="0">
                <anchor moveWithCells="1">
                  <from>
                    <xdr:col>3</xdr:col>
                    <xdr:colOff>723900</xdr:colOff>
                    <xdr:row>3</xdr:row>
                    <xdr:rowOff>161925</xdr:rowOff>
                  </from>
                  <to>
                    <xdr:col>5</xdr:col>
                    <xdr:colOff>76200</xdr:colOff>
                    <xdr:row>5</xdr:row>
                    <xdr:rowOff>0</xdr:rowOff>
                  </to>
                </anchor>
              </controlPr>
            </control>
          </mc:Choice>
        </mc:AlternateContent>
        <mc:AlternateContent xmlns:mc="http://schemas.openxmlformats.org/markup-compatibility/2006">
          <mc:Choice Requires="x14">
            <control shapeId="543811" r:id="rId5" name="Drop Down 67">
              <controlPr defaultSize="0" autoFill="0" autoLine="0" autoPict="0">
                <anchor moveWithCells="1">
                  <from>
                    <xdr:col>3</xdr:col>
                    <xdr:colOff>0</xdr:colOff>
                    <xdr:row>81</xdr:row>
                    <xdr:rowOff>180975</xdr:rowOff>
                  </from>
                  <to>
                    <xdr:col>4</xdr:col>
                    <xdr:colOff>0</xdr:colOff>
                    <xdr:row>83</xdr:row>
                    <xdr:rowOff>38100</xdr:rowOff>
                  </to>
                </anchor>
              </controlPr>
            </control>
          </mc:Choice>
        </mc:AlternateContent>
        <mc:AlternateContent xmlns:mc="http://schemas.openxmlformats.org/markup-compatibility/2006">
          <mc:Choice Requires="x14">
            <control shapeId="543816" r:id="rId6" name="Drop Down 72">
              <controlPr defaultSize="0" autoFill="0" autoLine="0" autoPict="0">
                <anchor moveWithCells="1">
                  <from>
                    <xdr:col>3</xdr:col>
                    <xdr:colOff>0</xdr:colOff>
                    <xdr:row>90</xdr:row>
                    <xdr:rowOff>142875</xdr:rowOff>
                  </from>
                  <to>
                    <xdr:col>4</xdr:col>
                    <xdr:colOff>28575</xdr:colOff>
                    <xdr:row>92</xdr:row>
                    <xdr:rowOff>9525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U43"/>
  <sheetViews>
    <sheetView showGridLines="0" zoomScale="80" zoomScaleNormal="80" zoomScalePageLayoutView="80" workbookViewId="0"/>
  </sheetViews>
  <sheetFormatPr defaultColWidth="9.140625" defaultRowHeight="15.75" x14ac:dyDescent="0.25"/>
  <cols>
    <col min="1" max="1" width="3.28515625" style="1" customWidth="1"/>
    <col min="2" max="2" width="34.7109375" style="1" customWidth="1"/>
    <col min="3" max="3" width="12" style="1" customWidth="1"/>
    <col min="4" max="4" width="16.7109375" style="1" customWidth="1"/>
    <col min="5" max="5" width="17" style="1" customWidth="1"/>
    <col min="6" max="6" width="15" style="1" customWidth="1"/>
    <col min="7" max="7" width="15.28515625" style="1" customWidth="1"/>
    <col min="8" max="8" width="15.7109375" style="1" customWidth="1"/>
    <col min="9" max="10" width="15.42578125" style="1" customWidth="1"/>
    <col min="11" max="11" width="29.28515625" style="1" customWidth="1"/>
    <col min="12" max="12" width="10.28515625" style="1" customWidth="1"/>
    <col min="13" max="13" width="15.28515625" style="1" customWidth="1"/>
    <col min="14" max="14" width="14.140625" style="1" customWidth="1"/>
    <col min="15" max="15" width="14.42578125" style="1" customWidth="1"/>
    <col min="16" max="16" width="15.140625" style="1" customWidth="1"/>
    <col min="17" max="17" width="16" style="1" customWidth="1"/>
    <col min="18" max="18" width="19.42578125" style="1" customWidth="1"/>
    <col min="19" max="19" width="20.28515625" style="83" customWidth="1"/>
    <col min="20" max="20" width="26.85546875" style="1" customWidth="1"/>
    <col min="21" max="21" width="19.28515625" style="1" customWidth="1"/>
    <col min="22" max="22" width="17" style="1" customWidth="1"/>
    <col min="23" max="23" width="9" style="1" customWidth="1"/>
    <col min="24" max="24" width="7.140625" style="1" customWidth="1"/>
    <col min="25" max="25" width="7" style="1" customWidth="1"/>
    <col min="26" max="26" width="7.42578125" style="1" bestFit="1" customWidth="1"/>
    <col min="27" max="27" width="9.42578125" style="1" bestFit="1" customWidth="1"/>
    <col min="28" max="28" width="7.140625" style="1" customWidth="1"/>
    <col min="29" max="29" width="16.7109375" style="1" customWidth="1"/>
    <col min="30" max="30" width="9" style="1" bestFit="1" customWidth="1"/>
    <col min="31" max="31" width="5.7109375" style="1" customWidth="1"/>
    <col min="32" max="32" width="5.140625" style="1" bestFit="1" customWidth="1"/>
    <col min="33" max="33" width="7.42578125" style="1" bestFit="1" customWidth="1"/>
    <col min="34" max="34" width="9.42578125" style="1" bestFit="1" customWidth="1"/>
    <col min="35" max="35" width="6.28515625" style="1" customWidth="1"/>
    <col min="36" max="36" width="17" style="1" customWidth="1"/>
    <col min="37" max="37" width="7.7109375" style="1" bestFit="1" customWidth="1"/>
    <col min="38" max="38" width="6" style="1" customWidth="1"/>
    <col min="39" max="39" width="5.140625" style="1" bestFit="1" customWidth="1"/>
    <col min="40" max="40" width="7.42578125" style="1" bestFit="1" customWidth="1"/>
    <col min="41" max="41" width="9.42578125" style="1" bestFit="1" customWidth="1"/>
    <col min="42" max="42" width="5.28515625" style="1" bestFit="1" customWidth="1"/>
    <col min="43" max="43" width="17.7109375" style="1" customWidth="1"/>
    <col min="44" max="44" width="8.28515625" style="1" bestFit="1" customWidth="1"/>
    <col min="45" max="45" width="6.140625" style="1" customWidth="1"/>
    <col min="46" max="46" width="5.140625" style="1" bestFit="1" customWidth="1"/>
    <col min="47" max="47" width="7.42578125" style="1" bestFit="1" customWidth="1"/>
    <col min="48" max="48" width="9.42578125" style="1" customWidth="1"/>
    <col min="49" max="49" width="5.28515625" style="1" bestFit="1" customWidth="1"/>
    <col min="50" max="16384" width="9.140625" style="1"/>
  </cols>
  <sheetData>
    <row r="1" spans="1:21" ht="30" customHeight="1" x14ac:dyDescent="0.3">
      <c r="B1" s="8" t="s">
        <v>181</v>
      </c>
      <c r="C1" s="8"/>
      <c r="D1" s="8"/>
      <c r="E1" s="8"/>
      <c r="F1" s="8"/>
      <c r="G1" s="2"/>
    </row>
    <row r="2" spans="1:21" ht="12.6" customHeight="1" x14ac:dyDescent="0.3">
      <c r="B2" s="8"/>
      <c r="C2" s="8"/>
      <c r="D2" s="8"/>
      <c r="E2" s="8"/>
      <c r="F2" s="8"/>
      <c r="G2" s="2"/>
    </row>
    <row r="3" spans="1:21" ht="15" customHeight="1" x14ac:dyDescent="0.25">
      <c r="B3" s="93" t="s">
        <v>7</v>
      </c>
      <c r="C3" s="93" t="s">
        <v>114</v>
      </c>
      <c r="D3" s="94" t="str">
        <f>'Data input'!D7</f>
        <v>Milking Cows</v>
      </c>
      <c r="E3" s="94" t="str">
        <f>'Data input'!E7</f>
        <v xml:space="preserve">Heifers &gt;1 </v>
      </c>
      <c r="F3" s="94" t="str">
        <f>'Data input'!F7</f>
        <v xml:space="preserve">Heifers &lt;1 </v>
      </c>
      <c r="G3" s="94" t="str">
        <f>'Data input'!G7</f>
        <v>Dairy Bulls&gt;1</v>
      </c>
      <c r="H3" s="94" t="str">
        <f>'Data input'!H7</f>
        <v>Dairy Bulls&lt;1</v>
      </c>
      <c r="I3" s="94" t="str">
        <f>'Data input'!I7</f>
        <v>Units</v>
      </c>
      <c r="J3" s="6"/>
      <c r="K3" s="93" t="s">
        <v>14</v>
      </c>
      <c r="L3" s="93" t="s">
        <v>114</v>
      </c>
      <c r="M3" s="94" t="str">
        <f>'Data input'!D7</f>
        <v>Milking Cows</v>
      </c>
      <c r="N3" s="94" t="str">
        <f>'Data input'!E7</f>
        <v xml:space="preserve">Heifers &gt;1 </v>
      </c>
      <c r="O3" s="94" t="str">
        <f>'Data input'!F7</f>
        <v xml:space="preserve">Heifers &lt;1 </v>
      </c>
      <c r="P3" s="94" t="str">
        <f>'Data input'!G7</f>
        <v>Dairy Bulls&gt;1</v>
      </c>
      <c r="Q3" s="94" t="str">
        <f>'Data input'!H7</f>
        <v>Dairy Bulls&lt;1</v>
      </c>
      <c r="R3" s="94" t="str">
        <f>'Data input'!I7</f>
        <v>Units</v>
      </c>
      <c r="S3" s="245" t="s">
        <v>199</v>
      </c>
      <c r="T3" s="249" t="s">
        <v>207</v>
      </c>
      <c r="U3" s="249" t="s">
        <v>758</v>
      </c>
    </row>
    <row r="4" spans="1:21" x14ac:dyDescent="0.25">
      <c r="B4" s="65"/>
      <c r="C4" s="65"/>
      <c r="D4" s="64"/>
      <c r="E4" s="64"/>
      <c r="F4" s="64"/>
      <c r="G4" s="64"/>
      <c r="H4" s="64"/>
      <c r="I4" s="65"/>
      <c r="J4" s="6"/>
      <c r="K4" s="56"/>
      <c r="L4" s="56"/>
      <c r="M4" s="56"/>
      <c r="N4" s="56"/>
      <c r="O4" s="56"/>
      <c r="P4" s="56"/>
      <c r="Q4" s="56"/>
      <c r="R4" s="56"/>
      <c r="S4" s="246"/>
      <c r="T4" s="249"/>
      <c r="U4" s="249"/>
    </row>
    <row r="5" spans="1:21" x14ac:dyDescent="0.25">
      <c r="A5" s="6"/>
      <c r="B5" s="69" t="s">
        <v>198</v>
      </c>
      <c r="C5" s="71" t="s">
        <v>107</v>
      </c>
      <c r="D5" s="58">
        <f>'Data input'!D9</f>
        <v>300</v>
      </c>
      <c r="E5" s="58">
        <f>'Data input'!E9</f>
        <v>50</v>
      </c>
      <c r="F5" s="58">
        <f>'Data input'!F9</f>
        <v>50</v>
      </c>
      <c r="G5" s="58">
        <f>'Data input'!G9</f>
        <v>50</v>
      </c>
      <c r="H5" s="58">
        <f>'Data input'!H9</f>
        <v>50</v>
      </c>
      <c r="I5" s="67" t="s">
        <v>106</v>
      </c>
      <c r="J5" s="6"/>
      <c r="K5" s="11" t="s">
        <v>58</v>
      </c>
      <c r="L5" s="56"/>
      <c r="M5" s="11" t="s">
        <v>115</v>
      </c>
      <c r="N5" s="11"/>
      <c r="O5" s="11"/>
      <c r="P5" s="11"/>
      <c r="Q5" s="56"/>
      <c r="R5" s="56"/>
      <c r="S5" s="247" t="s">
        <v>122</v>
      </c>
      <c r="T5" s="247" t="s">
        <v>208</v>
      </c>
      <c r="U5" s="247" t="s">
        <v>759</v>
      </c>
    </row>
    <row r="6" spans="1:21" x14ac:dyDescent="0.25">
      <c r="A6" s="6"/>
      <c r="B6" s="69"/>
      <c r="C6" s="71" t="s">
        <v>108</v>
      </c>
      <c r="D6" s="58">
        <f>'Data input'!D10</f>
        <v>300</v>
      </c>
      <c r="E6" s="58">
        <f>'Data input'!E10</f>
        <v>50</v>
      </c>
      <c r="F6" s="58">
        <f>'Data input'!F10</f>
        <v>50</v>
      </c>
      <c r="G6" s="58">
        <f>'Data input'!G10</f>
        <v>50</v>
      </c>
      <c r="H6" s="58">
        <f>'Data input'!H10</f>
        <v>50</v>
      </c>
      <c r="I6" s="67" t="s">
        <v>106</v>
      </c>
      <c r="J6" s="6"/>
      <c r="K6" s="56"/>
      <c r="L6" s="56" t="s">
        <v>107</v>
      </c>
      <c r="M6" s="57">
        <f>((1.185+(0.00454*D15)-(0.0000026*((D15)^2))+((0.315*D10)))^2)*D$32+M13</f>
        <v>18.802184438607195</v>
      </c>
      <c r="N6" s="57">
        <f t="shared" ref="N6:P6" si="0">((1.185+(0.00454*E15)-(0.0000026*((E15)^2))+((0.315*E10)))^2)*E$32+N13</f>
        <v>7.2784485796</v>
      </c>
      <c r="O6" s="57">
        <f t="shared" si="0"/>
        <v>4.3844314485315596</v>
      </c>
      <c r="P6" s="57">
        <f t="shared" si="0"/>
        <v>8.8387289999999989</v>
      </c>
      <c r="Q6" s="57">
        <f>(1.185+(0.00454*H15)-(0.0000026*(H15)^2)+((0.315*H10)))^2*H32+Q13</f>
        <v>5.4143472656250013</v>
      </c>
      <c r="R6" s="65" t="s">
        <v>121</v>
      </c>
      <c r="S6" s="246"/>
      <c r="T6" s="247"/>
      <c r="U6" s="247"/>
    </row>
    <row r="7" spans="1:21" x14ac:dyDescent="0.25">
      <c r="A7" s="6"/>
      <c r="B7" s="69"/>
      <c r="C7" s="71" t="s">
        <v>109</v>
      </c>
      <c r="D7" s="58">
        <f>'Data input'!D11</f>
        <v>300</v>
      </c>
      <c r="E7" s="58">
        <f>'Data input'!E11</f>
        <v>50</v>
      </c>
      <c r="F7" s="58">
        <f>'Data input'!F11</f>
        <v>50</v>
      </c>
      <c r="G7" s="58">
        <f>'Data input'!G11</f>
        <v>50</v>
      </c>
      <c r="H7" s="58">
        <f>'Data input'!H11</f>
        <v>50</v>
      </c>
      <c r="I7" s="67" t="s">
        <v>106</v>
      </c>
      <c r="J7" s="6"/>
      <c r="K7" s="56"/>
      <c r="L7" s="56" t="s">
        <v>108</v>
      </c>
      <c r="M7" s="57">
        <f t="shared" ref="M7:M9" si="1">((1.185+(0.00454*D16)-(0.0000026*((D16)^2))+((0.315*D11)))^2)*D$32+M14</f>
        <v>18.802184438607195</v>
      </c>
      <c r="N7" s="57">
        <f t="shared" ref="N7:N9" si="2">((1.185+(0.00454*E16)-(0.0000026*((E16)^2))+((0.315*E11)))^2)*E$32+N14</f>
        <v>7.2784485796</v>
      </c>
      <c r="O7" s="57">
        <f t="shared" ref="O7:O9" si="3">((1.185+(0.00454*F16)-(0.0000026*((F16)^2))+((0.315*F11)))^2)*F$32+O14</f>
        <v>4.3844314485315596</v>
      </c>
      <c r="P7" s="57">
        <f t="shared" ref="P7:P9" si="4">((1.185+(0.00454*G16)-(0.0000026*((G16)^2))+((0.315*G11)))^2)*G$32+P14</f>
        <v>8.8387289999999989</v>
      </c>
      <c r="Q7" s="57">
        <f>(1.185+(0.00454*H16)-(0.0000026*(H16)^2)+((0.315*H11)))^2*H32+Q14</f>
        <v>5.4143472656250013</v>
      </c>
      <c r="R7" s="65" t="s">
        <v>121</v>
      </c>
      <c r="S7" s="246"/>
      <c r="T7" s="247"/>
      <c r="U7" s="247"/>
    </row>
    <row r="8" spans="1:21" ht="17.25" customHeight="1" x14ac:dyDescent="0.25">
      <c r="A8" s="6"/>
      <c r="B8" s="69"/>
      <c r="C8" s="71" t="s">
        <v>110</v>
      </c>
      <c r="D8" s="58">
        <f>'Data input'!D12</f>
        <v>300</v>
      </c>
      <c r="E8" s="58">
        <f>'Data input'!E12</f>
        <v>50</v>
      </c>
      <c r="F8" s="58">
        <f>'Data input'!F12</f>
        <v>50</v>
      </c>
      <c r="G8" s="58">
        <f>'Data input'!G12</f>
        <v>50</v>
      </c>
      <c r="H8" s="58">
        <f>'Data input'!H12</f>
        <v>50</v>
      </c>
      <c r="I8" s="67" t="s">
        <v>106</v>
      </c>
      <c r="J8" s="6"/>
      <c r="K8" s="56"/>
      <c r="L8" s="56" t="s">
        <v>109</v>
      </c>
      <c r="M8" s="57">
        <f t="shared" si="1"/>
        <v>18.802184438607195</v>
      </c>
      <c r="N8" s="57">
        <f t="shared" si="2"/>
        <v>7.2784485796</v>
      </c>
      <c r="O8" s="57">
        <f t="shared" si="3"/>
        <v>4.3844314485315596</v>
      </c>
      <c r="P8" s="57">
        <f t="shared" si="4"/>
        <v>8.8387289999999989</v>
      </c>
      <c r="Q8" s="57">
        <f>(1.185+(0.00454*H17)-(0.0000026*(H17)^2)+((0.315*H12)))^2*H32+Q15</f>
        <v>5.4143472656250013</v>
      </c>
      <c r="R8" s="65" t="s">
        <v>121</v>
      </c>
      <c r="S8" s="246"/>
      <c r="T8" s="247"/>
      <c r="U8" s="247"/>
    </row>
    <row r="9" spans="1:21" ht="18" customHeight="1" x14ac:dyDescent="0.25">
      <c r="A9" s="6"/>
      <c r="B9" s="69"/>
      <c r="C9" s="72"/>
      <c r="D9" s="58"/>
      <c r="E9" s="58"/>
      <c r="F9" s="58"/>
      <c r="G9" s="58"/>
      <c r="H9" s="58"/>
      <c r="I9" s="67"/>
      <c r="J9" s="6"/>
      <c r="K9" s="56"/>
      <c r="L9" s="56" t="s">
        <v>110</v>
      </c>
      <c r="M9" s="57">
        <f t="shared" si="1"/>
        <v>18.802184438607195</v>
      </c>
      <c r="N9" s="57">
        <f t="shared" si="2"/>
        <v>7.2784485796</v>
      </c>
      <c r="O9" s="57">
        <f t="shared" si="3"/>
        <v>4.3844314485315596</v>
      </c>
      <c r="P9" s="57">
        <f t="shared" si="4"/>
        <v>8.8387289999999989</v>
      </c>
      <c r="Q9" s="57">
        <f>(1.185+(0.00454*H18)-(0.0000026*(H18)^2)+((0.315*H13)))^2*H32+Q16</f>
        <v>5.4143472656250013</v>
      </c>
      <c r="R9" s="65" t="s">
        <v>121</v>
      </c>
      <c r="S9" s="246"/>
      <c r="T9" s="247"/>
      <c r="U9" s="247"/>
    </row>
    <row r="10" spans="1:21" x14ac:dyDescent="0.25">
      <c r="A10" s="6"/>
      <c r="B10" s="70" t="s">
        <v>59</v>
      </c>
      <c r="C10" s="71" t="s">
        <v>107</v>
      </c>
      <c r="D10" s="66">
        <f>'Data input'!D21</f>
        <v>0</v>
      </c>
      <c r="E10" s="66">
        <f>'Data input'!E21</f>
        <v>0.6</v>
      </c>
      <c r="F10" s="66">
        <f>'Data input'!F21</f>
        <v>0.56999999999999995</v>
      </c>
      <c r="G10" s="66">
        <f>'Data input'!G21</f>
        <v>0</v>
      </c>
      <c r="H10" s="66">
        <f>'Data input'!H21</f>
        <v>0.8</v>
      </c>
      <c r="I10" s="66" t="str">
        <f>'Data input'!I21</f>
        <v>kg/day</v>
      </c>
      <c r="J10" s="6"/>
      <c r="K10" s="56"/>
      <c r="L10" s="56"/>
      <c r="M10" s="56"/>
      <c r="N10" s="56"/>
      <c r="O10" s="56"/>
      <c r="P10" s="56"/>
      <c r="Q10" s="56"/>
      <c r="R10" s="501"/>
      <c r="S10" s="246"/>
      <c r="T10" s="247"/>
      <c r="U10" s="247"/>
    </row>
    <row r="11" spans="1:21" x14ac:dyDescent="0.25">
      <c r="A11" s="6"/>
      <c r="B11" s="71"/>
      <c r="C11" s="71" t="s">
        <v>108</v>
      </c>
      <c r="D11" s="66">
        <f>'Data input'!D22</f>
        <v>0</v>
      </c>
      <c r="E11" s="66">
        <f>'Data input'!E22</f>
        <v>0.6</v>
      </c>
      <c r="F11" s="66">
        <f>'Data input'!F22</f>
        <v>0.56999999999999995</v>
      </c>
      <c r="G11" s="66">
        <f>'Data input'!G22</f>
        <v>0</v>
      </c>
      <c r="H11" s="66">
        <f>'Data input'!H22</f>
        <v>0.8</v>
      </c>
      <c r="I11" s="66" t="str">
        <f>'Data input'!I22</f>
        <v>kg/day</v>
      </c>
      <c r="J11" s="6"/>
      <c r="K11" s="11" t="s">
        <v>123</v>
      </c>
      <c r="L11" s="9"/>
      <c r="M11" s="11" t="s">
        <v>52</v>
      </c>
      <c r="N11" s="11"/>
      <c r="O11" s="56"/>
      <c r="P11" s="56"/>
      <c r="Q11" s="56"/>
      <c r="R11" s="501"/>
      <c r="S11" s="246"/>
      <c r="T11" s="247"/>
      <c r="U11" s="247"/>
    </row>
    <row r="12" spans="1:21" x14ac:dyDescent="0.25">
      <c r="A12" s="6"/>
      <c r="B12" s="71"/>
      <c r="C12" s="71" t="s">
        <v>109</v>
      </c>
      <c r="D12" s="66">
        <f>'Data input'!D23</f>
        <v>0</v>
      </c>
      <c r="E12" s="66">
        <f>'Data input'!E23</f>
        <v>0.6</v>
      </c>
      <c r="F12" s="66">
        <f>'Data input'!F23</f>
        <v>0.56999999999999995</v>
      </c>
      <c r="G12" s="66">
        <f>'Data input'!G23</f>
        <v>0</v>
      </c>
      <c r="H12" s="66">
        <f>'Data input'!H23</f>
        <v>0.8</v>
      </c>
      <c r="I12" s="66" t="str">
        <f>'Data input'!I23</f>
        <v>kg/day</v>
      </c>
      <c r="J12" s="6"/>
      <c r="K12" s="56"/>
      <c r="L12" s="56"/>
      <c r="M12" s="11" t="s">
        <v>816</v>
      </c>
      <c r="N12" s="56"/>
      <c r="O12" s="56"/>
      <c r="P12" s="56"/>
      <c r="Q12" s="56"/>
      <c r="R12" s="501"/>
      <c r="S12" s="247" t="s">
        <v>124</v>
      </c>
      <c r="T12" s="247" t="s">
        <v>209</v>
      </c>
      <c r="U12" s="247" t="s">
        <v>759</v>
      </c>
    </row>
    <row r="13" spans="1:21" x14ac:dyDescent="0.25">
      <c r="A13" s="6"/>
      <c r="B13" s="71"/>
      <c r="C13" s="71" t="s">
        <v>110</v>
      </c>
      <c r="D13" s="66">
        <f>'Data input'!D24</f>
        <v>0</v>
      </c>
      <c r="E13" s="66">
        <f>'Data input'!E24</f>
        <v>0.6</v>
      </c>
      <c r="F13" s="66">
        <f>'Data input'!F24</f>
        <v>0.56999999999999995</v>
      </c>
      <c r="G13" s="66">
        <f>'Data input'!G24</f>
        <v>0</v>
      </c>
      <c r="H13" s="66">
        <f>'Data input'!H24</f>
        <v>0.8</v>
      </c>
      <c r="I13" s="66" t="str">
        <f>'Data input'!I24</f>
        <v>kg/day</v>
      </c>
      <c r="J13" s="6"/>
      <c r="K13" s="56"/>
      <c r="L13" s="56" t="s">
        <v>107</v>
      </c>
      <c r="M13" s="57">
        <f>D25*1.03*3.054/0.6/(0.00795*D20-0.0014)/$C$30</f>
        <v>9.5798721636071935</v>
      </c>
      <c r="N13" s="57">
        <f t="shared" ref="N13:Q16" si="5">E25*3.054/0.6/(0.00795*E20-0.0014)/$C$30</f>
        <v>0</v>
      </c>
      <c r="O13" s="57">
        <f t="shared" si="5"/>
        <v>0</v>
      </c>
      <c r="P13" s="57">
        <f t="shared" si="5"/>
        <v>0</v>
      </c>
      <c r="Q13" s="57">
        <f t="shared" si="5"/>
        <v>0</v>
      </c>
      <c r="R13" s="65" t="s">
        <v>121</v>
      </c>
      <c r="S13" s="246"/>
      <c r="T13" s="247"/>
      <c r="U13" s="247"/>
    </row>
    <row r="14" spans="1:21" x14ac:dyDescent="0.25">
      <c r="B14" s="71"/>
      <c r="C14" s="71"/>
      <c r="D14" s="66"/>
      <c r="E14" s="66"/>
      <c r="F14" s="66"/>
      <c r="G14" s="66"/>
      <c r="H14" s="66"/>
      <c r="I14" s="66"/>
      <c r="J14" s="6"/>
      <c r="K14" s="56"/>
      <c r="L14" s="56" t="s">
        <v>108</v>
      </c>
      <c r="M14" s="57">
        <f>D26*1.03*3.054/0.6/(0.00795*D21-0.0014)/$C$30</f>
        <v>9.5798721636071935</v>
      </c>
      <c r="N14" s="57">
        <f t="shared" si="5"/>
        <v>0</v>
      </c>
      <c r="O14" s="57">
        <f t="shared" si="5"/>
        <v>0</v>
      </c>
      <c r="P14" s="57">
        <f t="shared" si="5"/>
        <v>0</v>
      </c>
      <c r="Q14" s="57">
        <f t="shared" si="5"/>
        <v>0</v>
      </c>
      <c r="R14" s="65" t="s">
        <v>121</v>
      </c>
      <c r="S14" s="246"/>
      <c r="T14" s="247"/>
      <c r="U14" s="247"/>
    </row>
    <row r="15" spans="1:21" x14ac:dyDescent="0.25">
      <c r="B15" s="70" t="s">
        <v>45</v>
      </c>
      <c r="C15" s="71" t="s">
        <v>107</v>
      </c>
      <c r="D15" s="66">
        <f>'Data input'!D15</f>
        <v>550</v>
      </c>
      <c r="E15" s="66">
        <f>'Data input'!E15</f>
        <v>370</v>
      </c>
      <c r="F15" s="66">
        <f>'Data input'!F15</f>
        <v>179</v>
      </c>
      <c r="G15" s="66">
        <f>'Data input'!G15</f>
        <v>600</v>
      </c>
      <c r="H15" s="66">
        <f>'Data input'!H15</f>
        <v>225</v>
      </c>
      <c r="I15" s="66" t="str">
        <f>'Data input'!I15</f>
        <v>kg/head</v>
      </c>
      <c r="J15" s="6"/>
      <c r="K15" s="56"/>
      <c r="L15" s="56" t="s">
        <v>109</v>
      </c>
      <c r="M15" s="57">
        <f>D27*1.03*3.054/0.6/(0.00795*D22-0.0014)/$C$30</f>
        <v>9.5798721636071935</v>
      </c>
      <c r="N15" s="57">
        <f t="shared" si="5"/>
        <v>0</v>
      </c>
      <c r="O15" s="57">
        <f t="shared" si="5"/>
        <v>0</v>
      </c>
      <c r="P15" s="57">
        <f t="shared" si="5"/>
        <v>0</v>
      </c>
      <c r="Q15" s="57">
        <f t="shared" si="5"/>
        <v>0</v>
      </c>
      <c r="R15" s="65" t="s">
        <v>121</v>
      </c>
      <c r="S15" s="246"/>
      <c r="T15" s="247"/>
      <c r="U15" s="247"/>
    </row>
    <row r="16" spans="1:21" x14ac:dyDescent="0.25">
      <c r="B16" s="71"/>
      <c r="C16" s="71" t="s">
        <v>108</v>
      </c>
      <c r="D16" s="66">
        <f>'Data input'!D16</f>
        <v>550</v>
      </c>
      <c r="E16" s="66">
        <f>'Data input'!E16</f>
        <v>370</v>
      </c>
      <c r="F16" s="66">
        <f>'Data input'!F16</f>
        <v>179</v>
      </c>
      <c r="G16" s="66">
        <f>'Data input'!G16</f>
        <v>600</v>
      </c>
      <c r="H16" s="66">
        <f>'Data input'!H16</f>
        <v>225</v>
      </c>
      <c r="I16" s="66" t="str">
        <f>'Data input'!I16</f>
        <v>kg/head</v>
      </c>
      <c r="J16" s="6"/>
      <c r="K16" s="56"/>
      <c r="L16" s="56" t="s">
        <v>110</v>
      </c>
      <c r="M16" s="57">
        <f>D28*1.03*3.054/0.6/(0.00795*D23-0.0014)/$C$30</f>
        <v>9.5798721636071935</v>
      </c>
      <c r="N16" s="57">
        <f t="shared" si="5"/>
        <v>0</v>
      </c>
      <c r="O16" s="57">
        <f t="shared" si="5"/>
        <v>0</v>
      </c>
      <c r="P16" s="57">
        <f t="shared" si="5"/>
        <v>0</v>
      </c>
      <c r="Q16" s="57">
        <f t="shared" si="5"/>
        <v>0</v>
      </c>
      <c r="R16" s="65" t="s">
        <v>121</v>
      </c>
      <c r="S16" s="246"/>
      <c r="T16" s="247"/>
      <c r="U16" s="247"/>
    </row>
    <row r="17" spans="2:21" x14ac:dyDescent="0.25">
      <c r="B17" s="71"/>
      <c r="C17" s="71" t="s">
        <v>109</v>
      </c>
      <c r="D17" s="66">
        <f>'Data input'!D17</f>
        <v>550</v>
      </c>
      <c r="E17" s="66">
        <f>'Data input'!E17</f>
        <v>370</v>
      </c>
      <c r="F17" s="66">
        <f>'Data input'!F17</f>
        <v>179</v>
      </c>
      <c r="G17" s="66">
        <f>'Data input'!G17</f>
        <v>600</v>
      </c>
      <c r="H17" s="66">
        <f>'Data input'!H17</f>
        <v>225</v>
      </c>
      <c r="I17" s="66" t="str">
        <f>'Data input'!I17</f>
        <v>kg/head</v>
      </c>
      <c r="J17" s="6"/>
      <c r="K17" s="56"/>
      <c r="L17" s="56"/>
      <c r="M17" s="56"/>
      <c r="N17" s="56"/>
      <c r="O17" s="56"/>
      <c r="P17" s="56"/>
      <c r="Q17" s="56"/>
      <c r="R17" s="501"/>
      <c r="S17" s="246"/>
      <c r="T17" s="247"/>
      <c r="U17" s="247"/>
    </row>
    <row r="18" spans="2:21" x14ac:dyDescent="0.25">
      <c r="B18" s="71"/>
      <c r="C18" s="71" t="s">
        <v>110</v>
      </c>
      <c r="D18" s="66">
        <f>'Data input'!D18</f>
        <v>550</v>
      </c>
      <c r="E18" s="66">
        <f>'Data input'!E18</f>
        <v>370</v>
      </c>
      <c r="F18" s="66">
        <f>'Data input'!F18</f>
        <v>179</v>
      </c>
      <c r="G18" s="66">
        <f>'Data input'!G18</f>
        <v>600</v>
      </c>
      <c r="H18" s="66">
        <f>'Data input'!H18</f>
        <v>225</v>
      </c>
      <c r="I18" s="66" t="str">
        <f>'Data input'!I18</f>
        <v>kg/head</v>
      </c>
      <c r="J18" s="6"/>
      <c r="K18" s="11" t="s">
        <v>200</v>
      </c>
      <c r="L18" s="56"/>
      <c r="M18" s="11" t="s">
        <v>210</v>
      </c>
      <c r="N18" s="9"/>
      <c r="O18" s="56"/>
      <c r="P18" s="56"/>
      <c r="Q18" s="56"/>
      <c r="R18" s="501"/>
      <c r="S18" s="247" t="s">
        <v>125</v>
      </c>
      <c r="T18" s="247" t="s">
        <v>211</v>
      </c>
      <c r="U18" s="247" t="s">
        <v>760</v>
      </c>
    </row>
    <row r="19" spans="2:21" x14ac:dyDescent="0.25">
      <c r="B19" s="71"/>
      <c r="C19" s="71"/>
      <c r="D19" s="66"/>
      <c r="E19" s="66"/>
      <c r="F19" s="66"/>
      <c r="G19" s="66"/>
      <c r="H19" s="66"/>
      <c r="I19" s="66"/>
      <c r="J19" s="6"/>
      <c r="K19" s="56"/>
      <c r="L19" s="56"/>
      <c r="M19" s="11"/>
      <c r="N19" s="9"/>
      <c r="O19" s="9"/>
      <c r="P19" s="56"/>
      <c r="Q19" s="56"/>
      <c r="R19" s="501"/>
      <c r="S19" s="246"/>
      <c r="T19" s="247"/>
      <c r="U19" s="247"/>
    </row>
    <row r="20" spans="2:21" x14ac:dyDescent="0.25">
      <c r="B20" s="70" t="s">
        <v>54</v>
      </c>
      <c r="C20" s="71" t="s">
        <v>107</v>
      </c>
      <c r="D20" s="66">
        <f>'Data input'!D33</f>
        <v>75</v>
      </c>
      <c r="E20" s="66">
        <f>'Data input'!E33</f>
        <v>75</v>
      </c>
      <c r="F20" s="66">
        <f>'Data input'!F33</f>
        <v>75</v>
      </c>
      <c r="G20" s="66">
        <f>'Data input'!G33</f>
        <v>75</v>
      </c>
      <c r="H20" s="66">
        <f>'Data input'!H33</f>
        <v>75</v>
      </c>
      <c r="I20" s="66" t="str">
        <f>'Data input'!I33</f>
        <v>%</v>
      </c>
      <c r="J20" s="6"/>
      <c r="K20" s="56"/>
      <c r="L20" s="56" t="s">
        <v>107</v>
      </c>
      <c r="M20" s="578">
        <f>20.7*(M6/1000)</f>
        <v>0.38920521787916895</v>
      </c>
      <c r="N20" s="578">
        <f t="shared" ref="N20:Q20" si="6">20.7*(N6/1000)</f>
        <v>0.15066388559771998</v>
      </c>
      <c r="O20" s="578">
        <f t="shared" si="6"/>
        <v>9.0757730984603283E-2</v>
      </c>
      <c r="P20" s="578">
        <f t="shared" si="6"/>
        <v>0.18296169029999995</v>
      </c>
      <c r="Q20" s="578">
        <f t="shared" si="6"/>
        <v>0.11207698839843752</v>
      </c>
      <c r="R20" s="65" t="s">
        <v>61</v>
      </c>
      <c r="S20" s="246"/>
      <c r="T20" s="247"/>
      <c r="U20" s="247"/>
    </row>
    <row r="21" spans="2:21" x14ac:dyDescent="0.25">
      <c r="B21" s="71"/>
      <c r="C21" s="71" t="s">
        <v>108</v>
      </c>
      <c r="D21" s="66">
        <f>'Data input'!D34</f>
        <v>75</v>
      </c>
      <c r="E21" s="66">
        <f>'Data input'!E34</f>
        <v>75</v>
      </c>
      <c r="F21" s="66">
        <f>'Data input'!F34</f>
        <v>75</v>
      </c>
      <c r="G21" s="66">
        <f>'Data input'!G34</f>
        <v>75</v>
      </c>
      <c r="H21" s="66">
        <f>'Data input'!H34</f>
        <v>75</v>
      </c>
      <c r="I21" s="66" t="str">
        <f>'Data input'!I34</f>
        <v>%</v>
      </c>
      <c r="J21" s="6"/>
      <c r="K21" s="56"/>
      <c r="L21" s="56" t="s">
        <v>108</v>
      </c>
      <c r="M21" s="578">
        <f t="shared" ref="M21:Q23" si="7">20.7*(M7/1000)</f>
        <v>0.38920521787916895</v>
      </c>
      <c r="N21" s="578">
        <f t="shared" si="7"/>
        <v>0.15066388559771998</v>
      </c>
      <c r="O21" s="578">
        <f t="shared" si="7"/>
        <v>9.0757730984603283E-2</v>
      </c>
      <c r="P21" s="578">
        <f t="shared" si="7"/>
        <v>0.18296169029999995</v>
      </c>
      <c r="Q21" s="578">
        <f t="shared" si="7"/>
        <v>0.11207698839843752</v>
      </c>
      <c r="R21" s="65" t="s">
        <v>61</v>
      </c>
      <c r="S21" s="246"/>
      <c r="T21" s="247"/>
      <c r="U21" s="247"/>
    </row>
    <row r="22" spans="2:21" x14ac:dyDescent="0.25">
      <c r="B22" s="71"/>
      <c r="C22" s="71" t="s">
        <v>109</v>
      </c>
      <c r="D22" s="66">
        <f>'Data input'!D35</f>
        <v>75</v>
      </c>
      <c r="E22" s="66">
        <f>'Data input'!E35</f>
        <v>75</v>
      </c>
      <c r="F22" s="66">
        <f>'Data input'!F35</f>
        <v>75</v>
      </c>
      <c r="G22" s="66">
        <f>'Data input'!G35</f>
        <v>75</v>
      </c>
      <c r="H22" s="66">
        <f>'Data input'!H35</f>
        <v>75</v>
      </c>
      <c r="I22" s="66" t="str">
        <f>'Data input'!I35</f>
        <v>%</v>
      </c>
      <c r="J22" s="6"/>
      <c r="K22" s="56"/>
      <c r="L22" s="56" t="s">
        <v>109</v>
      </c>
      <c r="M22" s="578">
        <f t="shared" si="7"/>
        <v>0.38920521787916895</v>
      </c>
      <c r="N22" s="578">
        <f t="shared" si="7"/>
        <v>0.15066388559771998</v>
      </c>
      <c r="O22" s="578">
        <f t="shared" si="7"/>
        <v>9.0757730984603283E-2</v>
      </c>
      <c r="P22" s="578">
        <f t="shared" si="7"/>
        <v>0.18296169029999995</v>
      </c>
      <c r="Q22" s="578">
        <f t="shared" si="7"/>
        <v>0.11207698839843752</v>
      </c>
      <c r="R22" s="65" t="s">
        <v>61</v>
      </c>
      <c r="S22" s="246"/>
      <c r="T22" s="247"/>
      <c r="U22" s="247"/>
    </row>
    <row r="23" spans="2:21" x14ac:dyDescent="0.25">
      <c r="B23" s="71"/>
      <c r="C23" s="71" t="s">
        <v>110</v>
      </c>
      <c r="D23" s="66">
        <f>'Data input'!D36</f>
        <v>75</v>
      </c>
      <c r="E23" s="66">
        <f>'Data input'!E36</f>
        <v>75</v>
      </c>
      <c r="F23" s="66">
        <f>'Data input'!F36</f>
        <v>75</v>
      </c>
      <c r="G23" s="66">
        <f>'Data input'!G36</f>
        <v>75</v>
      </c>
      <c r="H23" s="66">
        <f>'Data input'!H36</f>
        <v>75</v>
      </c>
      <c r="I23" s="66" t="str">
        <f>'Data input'!I36</f>
        <v>%</v>
      </c>
      <c r="J23" s="6"/>
      <c r="K23" s="56"/>
      <c r="L23" s="56" t="s">
        <v>110</v>
      </c>
      <c r="M23" s="578">
        <f t="shared" si="7"/>
        <v>0.38920521787916895</v>
      </c>
      <c r="N23" s="578">
        <f t="shared" si="7"/>
        <v>0.15066388559771998</v>
      </c>
      <c r="O23" s="578">
        <f t="shared" si="7"/>
        <v>9.0757730984603283E-2</v>
      </c>
      <c r="P23" s="578">
        <f t="shared" si="7"/>
        <v>0.18296169029999995</v>
      </c>
      <c r="Q23" s="578">
        <f t="shared" si="7"/>
        <v>0.11207698839843752</v>
      </c>
      <c r="R23" s="65" t="s">
        <v>61</v>
      </c>
      <c r="S23" s="246"/>
      <c r="T23" s="247"/>
      <c r="U23" s="247"/>
    </row>
    <row r="24" spans="2:21" x14ac:dyDescent="0.25">
      <c r="B24" s="71"/>
      <c r="C24" s="71"/>
      <c r="D24" s="66"/>
      <c r="E24" s="66"/>
      <c r="F24" s="66"/>
      <c r="G24" s="66"/>
      <c r="H24" s="66"/>
      <c r="I24" s="66"/>
      <c r="J24" s="6"/>
      <c r="K24" s="56"/>
      <c r="L24" s="56"/>
      <c r="M24" s="10"/>
      <c r="N24" s="10"/>
      <c r="O24" s="10"/>
      <c r="P24" s="10"/>
      <c r="Q24" s="10"/>
      <c r="R24" s="65"/>
      <c r="S24" s="246"/>
      <c r="T24" s="247"/>
      <c r="U24" s="247"/>
    </row>
    <row r="25" spans="2:21" x14ac:dyDescent="0.25">
      <c r="B25" s="70" t="s">
        <v>60</v>
      </c>
      <c r="C25" s="71" t="s">
        <v>107</v>
      </c>
      <c r="D25" s="66">
        <f>'Data input'!D39</f>
        <v>20</v>
      </c>
      <c r="E25" s="66">
        <f>'Data input'!E39</f>
        <v>0</v>
      </c>
      <c r="F25" s="66">
        <f>'Data input'!F39</f>
        <v>0</v>
      </c>
      <c r="G25" s="66">
        <f>'Data input'!G39</f>
        <v>0</v>
      </c>
      <c r="H25" s="66">
        <f>'Data input'!H39</f>
        <v>0</v>
      </c>
      <c r="I25" s="66" t="str">
        <f>'Data input'!I39</f>
        <v>L/day/head</v>
      </c>
      <c r="J25" s="6"/>
      <c r="K25" s="13" t="s">
        <v>62</v>
      </c>
      <c r="L25" s="56"/>
      <c r="M25" s="56"/>
      <c r="N25" s="56"/>
      <c r="O25" s="56"/>
      <c r="P25" s="56"/>
      <c r="Q25" s="56"/>
      <c r="R25" s="501"/>
      <c r="S25" s="246"/>
      <c r="T25" s="247"/>
      <c r="U25" s="247"/>
    </row>
    <row r="26" spans="2:21" x14ac:dyDescent="0.25">
      <c r="B26" s="71"/>
      <c r="C26" s="71" t="s">
        <v>108</v>
      </c>
      <c r="D26" s="66">
        <f>'Data input'!D40</f>
        <v>20</v>
      </c>
      <c r="E26" s="66">
        <f>'Data input'!E40</f>
        <v>0</v>
      </c>
      <c r="F26" s="66">
        <f>'Data input'!F40</f>
        <v>0</v>
      </c>
      <c r="G26" s="66">
        <f>'Data input'!G40</f>
        <v>0</v>
      </c>
      <c r="H26" s="66">
        <f>'Data input'!H40</f>
        <v>0</v>
      </c>
      <c r="I26" s="66" t="str">
        <f>'Data input'!I40</f>
        <v>L/day/head</v>
      </c>
      <c r="J26" s="6"/>
      <c r="K26" s="56"/>
      <c r="L26" s="56"/>
      <c r="M26" s="12" t="s">
        <v>761</v>
      </c>
      <c r="N26" s="56"/>
      <c r="O26" s="56"/>
      <c r="P26" s="56"/>
      <c r="Q26" s="56"/>
      <c r="R26" s="501"/>
      <c r="S26" s="247" t="s">
        <v>126</v>
      </c>
      <c r="T26" s="247" t="s">
        <v>212</v>
      </c>
      <c r="U26" s="247" t="s">
        <v>759</v>
      </c>
    </row>
    <row r="27" spans="2:21" x14ac:dyDescent="0.25">
      <c r="B27" s="71"/>
      <c r="C27" s="71" t="s">
        <v>109</v>
      </c>
      <c r="D27" s="66">
        <f>'Data input'!D41</f>
        <v>20</v>
      </c>
      <c r="E27" s="66">
        <f>'Data input'!E41</f>
        <v>0</v>
      </c>
      <c r="F27" s="66">
        <f>'Data input'!F41</f>
        <v>0</v>
      </c>
      <c r="G27" s="66">
        <f>'Data input'!G41</f>
        <v>0</v>
      </c>
      <c r="H27" s="66">
        <f>'Data input'!H41</f>
        <v>0</v>
      </c>
      <c r="I27" s="66" t="str">
        <f>'Data input'!I41</f>
        <v>L/day/head</v>
      </c>
      <c r="J27" s="6"/>
      <c r="K27" s="56"/>
      <c r="L27" s="56"/>
      <c r="M27" s="10"/>
      <c r="N27" s="10"/>
      <c r="O27" s="10"/>
      <c r="P27" s="10"/>
      <c r="Q27" s="10"/>
      <c r="R27" s="65"/>
      <c r="S27" s="246"/>
      <c r="T27" s="247"/>
      <c r="U27" s="247"/>
    </row>
    <row r="28" spans="2:21" x14ac:dyDescent="0.25">
      <c r="B28" s="71"/>
      <c r="C28" s="71" t="s">
        <v>110</v>
      </c>
      <c r="D28" s="66">
        <f>'Data input'!D42</f>
        <v>20</v>
      </c>
      <c r="E28" s="66">
        <f>'Data input'!E42</f>
        <v>0</v>
      </c>
      <c r="F28" s="66">
        <f>'Data input'!F42</f>
        <v>0</v>
      </c>
      <c r="G28" s="66">
        <f>'Data input'!G42</f>
        <v>0</v>
      </c>
      <c r="H28" s="66">
        <f>'Data input'!H42</f>
        <v>0</v>
      </c>
      <c r="I28" s="66" t="str">
        <f>'Data input'!I42</f>
        <v>L/day/head</v>
      </c>
      <c r="J28" s="6"/>
      <c r="K28" s="56"/>
      <c r="L28" s="56" t="s">
        <v>762</v>
      </c>
      <c r="M28" s="10">
        <v>0</v>
      </c>
      <c r="N28" s="10">
        <v>0</v>
      </c>
      <c r="O28" s="10">
        <v>1.8249999999999999E-2</v>
      </c>
      <c r="P28" s="10">
        <v>0</v>
      </c>
      <c r="Q28" s="10">
        <v>2.0809999999999999E-2</v>
      </c>
      <c r="R28" s="65"/>
      <c r="S28" s="246"/>
      <c r="T28" s="247"/>
      <c r="U28" s="247"/>
    </row>
    <row r="29" spans="2:21" x14ac:dyDescent="0.25">
      <c r="B29" s="71"/>
      <c r="C29" s="71"/>
      <c r="D29" s="66"/>
      <c r="E29" s="66"/>
      <c r="F29" s="66"/>
      <c r="G29" s="66"/>
      <c r="H29" s="66"/>
      <c r="I29" s="66"/>
      <c r="J29" s="6"/>
      <c r="K29" s="56"/>
      <c r="L29" s="56"/>
      <c r="M29" s="10"/>
      <c r="N29" s="10"/>
      <c r="O29" s="10"/>
      <c r="P29" s="10"/>
      <c r="Q29" s="10"/>
      <c r="R29" s="65"/>
      <c r="S29" s="246"/>
      <c r="T29" s="247"/>
      <c r="U29" s="247"/>
    </row>
    <row r="30" spans="2:21" x14ac:dyDescent="0.25">
      <c r="B30" s="70" t="s">
        <v>13</v>
      </c>
      <c r="C30" s="66">
        <v>18.399999999999999</v>
      </c>
      <c r="D30" s="56"/>
      <c r="E30" s="66"/>
      <c r="F30" s="66"/>
      <c r="G30" s="66"/>
      <c r="H30" s="66"/>
      <c r="I30" s="68" t="s">
        <v>12</v>
      </c>
      <c r="J30" s="6"/>
      <c r="K30" s="56"/>
      <c r="L30" s="56" t="s">
        <v>107</v>
      </c>
      <c r="M30" s="10">
        <f>(D5*M20*91.25)*10^-6</f>
        <v>1.0654492839442252E-2</v>
      </c>
      <c r="N30" s="10">
        <f>(E5*N20*91.25)*10^-6</f>
        <v>6.8740397803959739E-4</v>
      </c>
      <c r="O30" s="10">
        <f>(F5*O20*91.25)*10^-6</f>
        <v>4.1408214761725243E-4</v>
      </c>
      <c r="P30" s="10">
        <f>(G5*P20*91.25)*10^-6</f>
        <v>8.3476271199374962E-4</v>
      </c>
      <c r="Q30" s="10">
        <f>(H5*Q20*91.25)*10^-6</f>
        <v>5.1135125956787116E-4</v>
      </c>
      <c r="R30" s="501" t="s">
        <v>127</v>
      </c>
      <c r="S30" s="246"/>
      <c r="T30" s="247"/>
      <c r="U30" s="247"/>
    </row>
    <row r="31" spans="2:21" x14ac:dyDescent="0.25">
      <c r="B31" s="71"/>
      <c r="C31" s="71"/>
      <c r="D31" s="66"/>
      <c r="E31" s="66"/>
      <c r="F31" s="66"/>
      <c r="G31" s="66"/>
      <c r="H31" s="66"/>
      <c r="I31" s="68"/>
      <c r="J31" s="6"/>
      <c r="K31" s="56"/>
      <c r="L31" s="56" t="s">
        <v>108</v>
      </c>
      <c r="M31" s="10">
        <f t="shared" ref="M31:M33" si="8">(D6*M21*91.25)*10^-6</f>
        <v>1.0654492839442252E-2</v>
      </c>
      <c r="N31" s="10">
        <f t="shared" ref="N31:N33" si="9">(E6*N21*91.25)*10^-6</f>
        <v>6.8740397803959739E-4</v>
      </c>
      <c r="O31" s="10">
        <f t="shared" ref="O31:O33" si="10">(F6*O21*91.25)*10^-6</f>
        <v>4.1408214761725243E-4</v>
      </c>
      <c r="P31" s="10">
        <f>(G6*P21*91.25)*10^-6</f>
        <v>8.3476271199374962E-4</v>
      </c>
      <c r="Q31" s="10">
        <f t="shared" ref="Q31:Q33" si="11">(H6*Q21*91.25)*10^-6</f>
        <v>5.1135125956787116E-4</v>
      </c>
      <c r="R31" s="501" t="s">
        <v>127</v>
      </c>
      <c r="S31" s="246"/>
      <c r="T31" s="247"/>
      <c r="U31" s="247"/>
    </row>
    <row r="32" spans="2:21" x14ac:dyDescent="0.25">
      <c r="B32" s="70" t="s">
        <v>57</v>
      </c>
      <c r="C32" s="101"/>
      <c r="D32" s="102">
        <v>1.1000000000000001</v>
      </c>
      <c r="E32" s="102">
        <v>1</v>
      </c>
      <c r="F32" s="102">
        <v>1</v>
      </c>
      <c r="G32" s="102">
        <v>1</v>
      </c>
      <c r="H32" s="102">
        <v>1</v>
      </c>
      <c r="I32" s="68"/>
      <c r="J32" s="6"/>
      <c r="K32" s="56"/>
      <c r="L32" s="56" t="s">
        <v>109</v>
      </c>
      <c r="M32" s="10">
        <f t="shared" si="8"/>
        <v>1.0654492839442252E-2</v>
      </c>
      <c r="N32" s="10">
        <f t="shared" si="9"/>
        <v>6.8740397803959739E-4</v>
      </c>
      <c r="O32" s="10">
        <f t="shared" si="10"/>
        <v>4.1408214761725243E-4</v>
      </c>
      <c r="P32" s="10">
        <f>(G7*P22*91.25)*10^-6</f>
        <v>8.3476271199374962E-4</v>
      </c>
      <c r="Q32" s="10">
        <f t="shared" si="11"/>
        <v>5.1135125956787116E-4</v>
      </c>
      <c r="R32" s="501" t="s">
        <v>127</v>
      </c>
      <c r="S32" s="246"/>
      <c r="T32" s="247"/>
      <c r="U32" s="247"/>
    </row>
    <row r="33" spans="1:21" x14ac:dyDescent="0.25">
      <c r="B33" s="103"/>
      <c r="C33" s="103"/>
      <c r="D33" s="104"/>
      <c r="E33" s="104"/>
      <c r="F33" s="104"/>
      <c r="G33" s="104"/>
      <c r="H33" s="104"/>
      <c r="I33" s="105"/>
      <c r="J33" s="6"/>
      <c r="K33" s="56"/>
      <c r="L33" s="56" t="s">
        <v>110</v>
      </c>
      <c r="M33" s="10">
        <f t="shared" si="8"/>
        <v>1.0654492839442252E-2</v>
      </c>
      <c r="N33" s="10">
        <f t="shared" si="9"/>
        <v>6.8740397803959739E-4</v>
      </c>
      <c r="O33" s="10">
        <f t="shared" si="10"/>
        <v>4.1408214761725243E-4</v>
      </c>
      <c r="P33" s="10">
        <f>(G8*P23*91.25)*10^-6</f>
        <v>8.3476271199374962E-4</v>
      </c>
      <c r="Q33" s="10">
        <f t="shared" si="11"/>
        <v>5.1135125956787116E-4</v>
      </c>
      <c r="R33" s="501" t="s">
        <v>127</v>
      </c>
      <c r="S33" s="246"/>
      <c r="T33" s="247"/>
      <c r="U33" s="247"/>
    </row>
    <row r="34" spans="1:21" x14ac:dyDescent="0.25">
      <c r="J34" s="6"/>
      <c r="K34" s="56"/>
      <c r="L34" s="56"/>
      <c r="M34" s="10"/>
      <c r="N34" s="10"/>
      <c r="O34" s="10"/>
      <c r="P34" s="580"/>
      <c r="Q34" s="10"/>
      <c r="R34" s="65"/>
      <c r="S34" s="246"/>
      <c r="T34" s="247"/>
      <c r="U34" s="247"/>
    </row>
    <row r="35" spans="1:21" x14ac:dyDescent="0.25">
      <c r="J35" s="6"/>
      <c r="K35" s="13" t="s">
        <v>6</v>
      </c>
      <c r="L35" s="577">
        <f>SUM(M30:Q33)</f>
        <v>5.2408371746642902E-2</v>
      </c>
      <c r="M35" s="59"/>
      <c r="N35" s="59"/>
      <c r="O35" s="59"/>
      <c r="P35" s="59"/>
      <c r="Q35" s="59"/>
      <c r="R35" s="502" t="s">
        <v>116</v>
      </c>
      <c r="S35" s="246"/>
      <c r="T35" s="247"/>
      <c r="U35" s="247"/>
    </row>
    <row r="36" spans="1:21" x14ac:dyDescent="0.25">
      <c r="J36" s="6"/>
      <c r="K36" s="13" t="s">
        <v>479</v>
      </c>
      <c r="L36" s="251">
        <f>L35*GWP!C5</f>
        <v>1.3102092936660725</v>
      </c>
      <c r="M36" s="59"/>
      <c r="N36" s="59"/>
      <c r="O36" s="59"/>
      <c r="P36" s="59"/>
      <c r="Q36" s="59"/>
      <c r="R36" s="502" t="s">
        <v>118</v>
      </c>
      <c r="S36" s="246"/>
      <c r="T36" s="247"/>
      <c r="U36" s="247"/>
    </row>
    <row r="37" spans="1:21" x14ac:dyDescent="0.25">
      <c r="J37" s="6"/>
      <c r="K37" s="106" t="s">
        <v>478</v>
      </c>
      <c r="L37" s="579">
        <f>L36*10^3</f>
        <v>1310.2092936660724</v>
      </c>
      <c r="M37" s="107"/>
      <c r="N37" s="107"/>
      <c r="O37" s="107"/>
      <c r="P37" s="107"/>
      <c r="Q37" s="107"/>
      <c r="R37" s="503" t="s">
        <v>117</v>
      </c>
      <c r="S37" s="248"/>
      <c r="T37" s="250"/>
      <c r="U37" s="250"/>
    </row>
    <row r="38" spans="1:21" x14ac:dyDescent="0.25">
      <c r="A38" s="3"/>
      <c r="B38" s="3"/>
      <c r="C38" s="3"/>
      <c r="D38" s="3"/>
      <c r="E38" s="14"/>
      <c r="F38" s="3"/>
      <c r="G38" s="3"/>
      <c r="H38" s="3"/>
      <c r="I38" s="3"/>
      <c r="K38" s="6"/>
      <c r="L38" s="6"/>
      <c r="M38" s="6"/>
    </row>
    <row r="39" spans="1:21" x14ac:dyDescent="0.25">
      <c r="A39" s="3"/>
      <c r="B39" s="3"/>
      <c r="C39" s="3"/>
      <c r="D39" s="3"/>
      <c r="E39" s="14"/>
      <c r="F39" s="3"/>
      <c r="G39" s="3"/>
      <c r="H39" s="3"/>
      <c r="I39" s="3"/>
    </row>
    <row r="40" spans="1:21" x14ac:dyDescent="0.25">
      <c r="A40" s="3"/>
      <c r="B40" s="3"/>
      <c r="C40" s="3"/>
      <c r="D40" s="3"/>
      <c r="E40" s="61"/>
      <c r="F40" s="3"/>
      <c r="G40" s="3"/>
      <c r="H40" s="3"/>
      <c r="I40" s="3"/>
      <c r="K40" s="575">
        <f>SUM(M6:Q9)</f>
        <v>178.87256292945497</v>
      </c>
    </row>
    <row r="41" spans="1:21" x14ac:dyDescent="0.25">
      <c r="B41" s="3"/>
      <c r="C41" s="3"/>
      <c r="D41" s="3"/>
      <c r="E41" s="62"/>
      <c r="F41" s="3"/>
      <c r="G41" s="3"/>
      <c r="H41" s="3"/>
      <c r="I41" s="3"/>
    </row>
    <row r="42" spans="1:21" x14ac:dyDescent="0.25">
      <c r="B42" s="3"/>
      <c r="C42" s="3"/>
      <c r="D42" s="3"/>
      <c r="E42" s="3"/>
      <c r="F42" s="3"/>
      <c r="G42" s="3"/>
      <c r="H42" s="3"/>
      <c r="I42" s="3"/>
    </row>
    <row r="43" spans="1:21" x14ac:dyDescent="0.25">
      <c r="B43" s="3"/>
      <c r="C43" s="3"/>
      <c r="D43" s="3"/>
      <c r="E43" s="3"/>
      <c r="F43" s="3"/>
      <c r="G43" s="3"/>
      <c r="H43" s="3"/>
      <c r="I43" s="3"/>
    </row>
  </sheetData>
  <sheetProtection sheet="1" objects="1" scenarios="1"/>
  <phoneticPr fontId="0" type="noConversion"/>
  <pageMargins left="0.75" right="0.75" top="1" bottom="1" header="0.5" footer="0.5"/>
  <pageSetup paperSize="9" orientation="portrait" horizontalDpi="300" verticalDpi="300"/>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C70"/>
  <sheetViews>
    <sheetView showGridLines="0" zoomScale="80" zoomScaleNormal="80" zoomScalePageLayoutView="80" workbookViewId="0"/>
  </sheetViews>
  <sheetFormatPr defaultColWidth="8.85546875" defaultRowHeight="15.75" x14ac:dyDescent="0.25"/>
  <cols>
    <col min="1" max="1" width="2.28515625" style="1" bestFit="1" customWidth="1"/>
    <col min="2" max="2" width="41" style="1" customWidth="1"/>
    <col min="3" max="9" width="18.42578125" style="1" customWidth="1"/>
    <col min="10" max="10" width="2.28515625" style="1" customWidth="1"/>
    <col min="11" max="11" width="34" style="1" customWidth="1"/>
    <col min="12" max="12" width="17.7109375" style="1" customWidth="1"/>
    <col min="13" max="13" width="16.85546875" style="1" customWidth="1"/>
    <col min="14" max="14" width="13.42578125" style="1" customWidth="1"/>
    <col min="15" max="15" width="13.28515625" style="1" customWidth="1"/>
    <col min="16" max="16" width="14.7109375" style="1" customWidth="1"/>
    <col min="17" max="17" width="18.28515625" style="1" customWidth="1"/>
    <col min="18" max="18" width="20.7109375" style="1" customWidth="1"/>
    <col min="19" max="19" width="18.85546875" style="83" customWidth="1"/>
    <col min="20" max="20" width="29.42578125" style="1" customWidth="1"/>
    <col min="21" max="21" width="23.85546875" style="1" customWidth="1"/>
    <col min="22" max="22" width="12.140625" style="1" customWidth="1"/>
    <col min="23" max="23" width="21.140625" style="1" customWidth="1"/>
    <col min="24" max="24" width="9.140625" style="1" customWidth="1"/>
    <col min="25" max="25" width="9.28515625" style="1" customWidth="1"/>
    <col min="26" max="26" width="11.42578125" style="1" bestFit="1" customWidth="1"/>
    <col min="27" max="27" width="9.28515625" style="1" bestFit="1" customWidth="1"/>
    <col min="28" max="28" width="10.42578125" style="1" bestFit="1" customWidth="1"/>
    <col min="29" max="29" width="9.7109375" style="1" customWidth="1"/>
    <col min="30" max="30" width="11.42578125" style="1" customWidth="1"/>
    <col min="31" max="16384" width="8.85546875" style="1"/>
  </cols>
  <sheetData>
    <row r="1" spans="2:22" ht="29.25" customHeight="1" x14ac:dyDescent="0.3">
      <c r="B1" s="8" t="s">
        <v>168</v>
      </c>
      <c r="L1" s="8"/>
    </row>
    <row r="2" spans="2:22" x14ac:dyDescent="0.25">
      <c r="K2" s="7"/>
      <c r="L2" s="7"/>
      <c r="M2" s="6"/>
      <c r="N2" s="6"/>
      <c r="O2" s="6"/>
      <c r="P2" s="6"/>
      <c r="Q2" s="6"/>
      <c r="R2" s="6"/>
      <c r="S2" s="84"/>
    </row>
    <row r="3" spans="2:22" ht="15.95" customHeight="1" x14ac:dyDescent="0.25">
      <c r="B3" s="597" t="s">
        <v>7</v>
      </c>
      <c r="C3" s="597" t="s">
        <v>114</v>
      </c>
      <c r="D3" s="598" t="str">
        <f>'Data input'!D7</f>
        <v>Milking Cows</v>
      </c>
      <c r="E3" s="598" t="str">
        <f>'Data input'!E7</f>
        <v xml:space="preserve">Heifers &gt;1 </v>
      </c>
      <c r="F3" s="598" t="str">
        <f>'Data input'!F7</f>
        <v xml:space="preserve">Heifers &lt;1 </v>
      </c>
      <c r="G3" s="598" t="str">
        <f>'Data input'!G7</f>
        <v>Dairy Bulls&gt;1</v>
      </c>
      <c r="H3" s="598" t="str">
        <f>'Data input'!H7</f>
        <v>Dairy Bulls&lt;1</v>
      </c>
      <c r="I3" s="598" t="str">
        <f>'Data input'!I7</f>
        <v>Units</v>
      </c>
      <c r="K3" s="332" t="s">
        <v>7</v>
      </c>
      <c r="L3" s="332" t="s">
        <v>114</v>
      </c>
      <c r="M3" s="332" t="s">
        <v>23</v>
      </c>
      <c r="N3" s="332" t="s">
        <v>19</v>
      </c>
      <c r="O3" s="332" t="s">
        <v>20</v>
      </c>
      <c r="P3" s="332" t="s">
        <v>204</v>
      </c>
      <c r="Q3" s="332" t="s">
        <v>205</v>
      </c>
      <c r="R3" s="332" t="s">
        <v>24</v>
      </c>
      <c r="S3" s="97" t="s">
        <v>199</v>
      </c>
      <c r="T3" s="97" t="s">
        <v>224</v>
      </c>
      <c r="U3" s="97" t="s">
        <v>758</v>
      </c>
    </row>
    <row r="4" spans="2:22" x14ac:dyDescent="0.25">
      <c r="B4" s="599"/>
      <c r="C4" s="599"/>
      <c r="D4" s="600"/>
      <c r="E4" s="600"/>
      <c r="F4" s="600"/>
      <c r="G4" s="600"/>
      <c r="H4" s="600"/>
      <c r="I4" s="599"/>
      <c r="K4" s="26"/>
      <c r="L4" s="26"/>
      <c r="M4" s="26"/>
      <c r="N4" s="26"/>
      <c r="O4" s="26"/>
      <c r="P4" s="26"/>
      <c r="Q4" s="26"/>
      <c r="R4" s="26"/>
      <c r="S4" s="252"/>
      <c r="T4" s="252"/>
      <c r="U4" s="252"/>
    </row>
    <row r="5" spans="2:22" x14ac:dyDescent="0.25">
      <c r="B5" s="599" t="s">
        <v>201</v>
      </c>
      <c r="C5" s="601" t="s">
        <v>107</v>
      </c>
      <c r="D5" s="594">
        <f>'Data input'!D9</f>
        <v>300</v>
      </c>
      <c r="E5" s="594">
        <f>'Data input'!E9</f>
        <v>50</v>
      </c>
      <c r="F5" s="594">
        <f>'Data input'!F9</f>
        <v>50</v>
      </c>
      <c r="G5" s="594">
        <f>'Data input'!G9</f>
        <v>50</v>
      </c>
      <c r="H5" s="594">
        <f>'Data input'!H9</f>
        <v>50</v>
      </c>
      <c r="I5" s="594" t="s">
        <v>106</v>
      </c>
      <c r="K5" s="74" t="s">
        <v>63</v>
      </c>
      <c r="L5" s="74" t="s">
        <v>227</v>
      </c>
      <c r="M5" s="27"/>
      <c r="N5" s="26"/>
      <c r="O5" s="26"/>
      <c r="P5" s="26"/>
      <c r="Q5" s="26"/>
      <c r="R5" s="26"/>
      <c r="S5" s="90" t="s">
        <v>128</v>
      </c>
      <c r="T5" s="252" t="s">
        <v>225</v>
      </c>
      <c r="U5" s="252" t="s">
        <v>760</v>
      </c>
    </row>
    <row r="6" spans="2:22" x14ac:dyDescent="0.25">
      <c r="B6" s="594"/>
      <c r="C6" s="601" t="s">
        <v>108</v>
      </c>
      <c r="D6" s="594">
        <f>'Data input'!D10</f>
        <v>300</v>
      </c>
      <c r="E6" s="594">
        <f>'Data input'!E10</f>
        <v>50</v>
      </c>
      <c r="F6" s="594">
        <f>'Data input'!F10</f>
        <v>50</v>
      </c>
      <c r="G6" s="594">
        <f>'Data input'!G10</f>
        <v>50</v>
      </c>
      <c r="H6" s="594">
        <f>'Data input'!H10</f>
        <v>50</v>
      </c>
      <c r="I6" s="594" t="s">
        <v>106</v>
      </c>
      <c r="K6" s="26"/>
      <c r="L6" s="75" t="s">
        <v>107</v>
      </c>
      <c r="M6" s="581">
        <f t="shared" ref="M6:Q9" si="0">(D10*(1-(D15/100))+(0.04*D10))*(1-$C$20)</f>
        <v>5.0164228082204003</v>
      </c>
      <c r="N6" s="78">
        <f t="shared" si="0"/>
        <v>1.9418900810372801</v>
      </c>
      <c r="O6" s="78">
        <f t="shared" si="0"/>
        <v>1.1697663104682203</v>
      </c>
      <c r="P6" s="78">
        <f t="shared" si="0"/>
        <v>2.3581728971999998</v>
      </c>
      <c r="Q6" s="78">
        <f t="shared" si="0"/>
        <v>1.4445478504687506</v>
      </c>
      <c r="R6" s="27" t="s">
        <v>17</v>
      </c>
      <c r="S6" s="91"/>
      <c r="T6" s="253"/>
      <c r="U6" s="253"/>
    </row>
    <row r="7" spans="2:22" x14ac:dyDescent="0.25">
      <c r="B7" s="594"/>
      <c r="C7" s="601" t="s">
        <v>109</v>
      </c>
      <c r="D7" s="594">
        <f>'Data input'!D11</f>
        <v>300</v>
      </c>
      <c r="E7" s="594">
        <f>'Data input'!E11</f>
        <v>50</v>
      </c>
      <c r="F7" s="594">
        <f>'Data input'!F11</f>
        <v>50</v>
      </c>
      <c r="G7" s="594">
        <f>'Data input'!G11</f>
        <v>50</v>
      </c>
      <c r="H7" s="594">
        <f>'Data input'!H11</f>
        <v>50</v>
      </c>
      <c r="I7" s="594" t="s">
        <v>106</v>
      </c>
      <c r="K7" s="26"/>
      <c r="L7" s="75" t="s">
        <v>108</v>
      </c>
      <c r="M7" s="581">
        <f t="shared" si="0"/>
        <v>5.0164228082204003</v>
      </c>
      <c r="N7" s="78">
        <f t="shared" si="0"/>
        <v>1.9418900810372801</v>
      </c>
      <c r="O7" s="78">
        <f t="shared" si="0"/>
        <v>1.1697663104682203</v>
      </c>
      <c r="P7" s="78">
        <f t="shared" si="0"/>
        <v>2.3581728971999998</v>
      </c>
      <c r="Q7" s="78">
        <f t="shared" si="0"/>
        <v>1.4445478504687506</v>
      </c>
      <c r="R7" s="27" t="s">
        <v>17</v>
      </c>
      <c r="S7" s="91"/>
      <c r="T7" s="253"/>
      <c r="U7" s="253"/>
    </row>
    <row r="8" spans="2:22" x14ac:dyDescent="0.25">
      <c r="B8" s="594"/>
      <c r="C8" s="601" t="s">
        <v>110</v>
      </c>
      <c r="D8" s="594">
        <f>'Data input'!D12</f>
        <v>300</v>
      </c>
      <c r="E8" s="594">
        <f>'Data input'!E12</f>
        <v>50</v>
      </c>
      <c r="F8" s="594">
        <f>'Data input'!F12</f>
        <v>50</v>
      </c>
      <c r="G8" s="594">
        <f>'Data input'!G12</f>
        <v>50</v>
      </c>
      <c r="H8" s="594">
        <f>'Data input'!H12</f>
        <v>50</v>
      </c>
      <c r="I8" s="594" t="s">
        <v>106</v>
      </c>
      <c r="K8" s="26"/>
      <c r="L8" s="75" t="s">
        <v>109</v>
      </c>
      <c r="M8" s="581">
        <f t="shared" si="0"/>
        <v>5.0164228082204003</v>
      </c>
      <c r="N8" s="78">
        <f t="shared" si="0"/>
        <v>1.9418900810372801</v>
      </c>
      <c r="O8" s="78">
        <f t="shared" si="0"/>
        <v>1.1697663104682203</v>
      </c>
      <c r="P8" s="78">
        <f t="shared" si="0"/>
        <v>2.3581728971999998</v>
      </c>
      <c r="Q8" s="78">
        <f t="shared" si="0"/>
        <v>1.4445478504687506</v>
      </c>
      <c r="R8" s="27" t="s">
        <v>17</v>
      </c>
      <c r="S8" s="91"/>
      <c r="T8" s="253"/>
      <c r="U8" s="253"/>
    </row>
    <row r="9" spans="2:22" x14ac:dyDescent="0.25">
      <c r="B9" s="594"/>
      <c r="C9" s="594"/>
      <c r="D9" s="594"/>
      <c r="E9" s="594"/>
      <c r="F9" s="594"/>
      <c r="G9" s="594"/>
      <c r="H9" s="594"/>
      <c r="I9" s="594"/>
      <c r="K9" s="26"/>
      <c r="L9" s="75" t="s">
        <v>110</v>
      </c>
      <c r="M9" s="581">
        <f t="shared" si="0"/>
        <v>5.0164228082204003</v>
      </c>
      <c r="N9" s="78">
        <f t="shared" si="0"/>
        <v>1.9418900810372801</v>
      </c>
      <c r="O9" s="78">
        <f t="shared" si="0"/>
        <v>1.1697663104682203</v>
      </c>
      <c r="P9" s="78">
        <f t="shared" si="0"/>
        <v>2.3581728971999998</v>
      </c>
      <c r="Q9" s="78">
        <f t="shared" si="0"/>
        <v>1.4445478504687506</v>
      </c>
      <c r="R9" s="27" t="s">
        <v>17</v>
      </c>
      <c r="S9" s="91"/>
      <c r="T9" s="252"/>
      <c r="U9" s="252"/>
      <c r="V9" s="25"/>
    </row>
    <row r="10" spans="2:22" x14ac:dyDescent="0.25">
      <c r="B10" s="602" t="s">
        <v>226</v>
      </c>
      <c r="C10" s="601" t="s">
        <v>107</v>
      </c>
      <c r="D10" s="603">
        <f>'Enteric fermentation'!M6</f>
        <v>18.802184438607195</v>
      </c>
      <c r="E10" s="603">
        <f>'Enteric fermentation'!N6</f>
        <v>7.2784485796</v>
      </c>
      <c r="F10" s="603">
        <f>'Enteric fermentation'!O6</f>
        <v>4.3844314485315596</v>
      </c>
      <c r="G10" s="603">
        <f>'Enteric fermentation'!P6</f>
        <v>8.8387289999999989</v>
      </c>
      <c r="H10" s="603">
        <f>'Enteric fermentation'!Q6</f>
        <v>5.4143472656250013</v>
      </c>
      <c r="I10" s="594" t="s">
        <v>121</v>
      </c>
      <c r="K10" s="26"/>
      <c r="L10" s="26"/>
      <c r="M10" s="26"/>
      <c r="N10" s="26"/>
      <c r="O10" s="26"/>
      <c r="P10" s="26"/>
      <c r="Q10" s="26"/>
      <c r="R10" s="26"/>
      <c r="S10" s="91"/>
      <c r="T10" s="252"/>
      <c r="U10" s="252"/>
      <c r="V10" s="3"/>
    </row>
    <row r="11" spans="2:22" x14ac:dyDescent="0.25">
      <c r="B11" s="594"/>
      <c r="C11" s="601" t="s">
        <v>108</v>
      </c>
      <c r="D11" s="603">
        <f>'Enteric fermentation'!M7</f>
        <v>18.802184438607195</v>
      </c>
      <c r="E11" s="603">
        <f>'Enteric fermentation'!N7</f>
        <v>7.2784485796</v>
      </c>
      <c r="F11" s="603">
        <f>'Enteric fermentation'!O7</f>
        <v>4.3844314485315596</v>
      </c>
      <c r="G11" s="603">
        <f>'Enteric fermentation'!P7</f>
        <v>8.8387289999999989</v>
      </c>
      <c r="H11" s="603">
        <f>'Enteric fermentation'!Q7</f>
        <v>5.4143472656250013</v>
      </c>
      <c r="I11" s="594" t="s">
        <v>121</v>
      </c>
      <c r="K11" s="74" t="s">
        <v>65</v>
      </c>
      <c r="L11" s="74" t="s">
        <v>834</v>
      </c>
      <c r="M11" s="27"/>
      <c r="N11" s="27"/>
      <c r="O11" s="28"/>
      <c r="P11" s="28"/>
      <c r="Q11" s="26"/>
      <c r="R11" s="28"/>
      <c r="S11" s="90" t="s">
        <v>129</v>
      </c>
      <c r="T11" s="90" t="s">
        <v>228</v>
      </c>
      <c r="U11" s="90" t="s">
        <v>760</v>
      </c>
      <c r="V11" s="25"/>
    </row>
    <row r="12" spans="2:22" x14ac:dyDescent="0.25">
      <c r="B12" s="594"/>
      <c r="C12" s="601" t="s">
        <v>109</v>
      </c>
      <c r="D12" s="603">
        <f>'Enteric fermentation'!M8</f>
        <v>18.802184438607195</v>
      </c>
      <c r="E12" s="603">
        <f>'Enteric fermentation'!N8</f>
        <v>7.2784485796</v>
      </c>
      <c r="F12" s="603">
        <f>'Enteric fermentation'!O8</f>
        <v>4.3844314485315596</v>
      </c>
      <c r="G12" s="603">
        <f>'Enteric fermentation'!P8</f>
        <v>8.8387289999999989</v>
      </c>
      <c r="H12" s="603">
        <f>'Enteric fermentation'!Q8</f>
        <v>5.4143472656250013</v>
      </c>
      <c r="I12" s="594" t="s">
        <v>121</v>
      </c>
      <c r="K12" s="26"/>
      <c r="L12" s="27" t="s">
        <v>229</v>
      </c>
      <c r="M12" s="26"/>
      <c r="N12" s="26"/>
      <c r="O12" s="26"/>
      <c r="P12" s="26"/>
      <c r="Q12" s="26"/>
      <c r="R12" s="26"/>
      <c r="S12" s="91"/>
      <c r="T12" s="90"/>
      <c r="U12" s="90" t="s">
        <v>764</v>
      </c>
      <c r="V12" s="25"/>
    </row>
    <row r="13" spans="2:22" x14ac:dyDescent="0.25">
      <c r="B13" s="594"/>
      <c r="C13" s="601" t="s">
        <v>110</v>
      </c>
      <c r="D13" s="603">
        <f>'Enteric fermentation'!M9</f>
        <v>18.802184438607195</v>
      </c>
      <c r="E13" s="603">
        <f>'Enteric fermentation'!N9</f>
        <v>7.2784485796</v>
      </c>
      <c r="F13" s="603">
        <f>'Enteric fermentation'!O9</f>
        <v>4.3844314485315596</v>
      </c>
      <c r="G13" s="603">
        <f>'Enteric fermentation'!P9</f>
        <v>8.8387289999999989</v>
      </c>
      <c r="H13" s="603">
        <f>'Enteric fermentation'!Q9</f>
        <v>5.4143472656250013</v>
      </c>
      <c r="I13" s="594" t="s">
        <v>121</v>
      </c>
      <c r="K13" s="26"/>
      <c r="L13" s="27" t="s">
        <v>242</v>
      </c>
      <c r="M13" s="27"/>
      <c r="N13" s="28"/>
      <c r="O13" s="28"/>
      <c r="P13" s="28"/>
      <c r="Q13" s="28"/>
      <c r="R13" s="26"/>
      <c r="S13" s="91"/>
      <c r="T13" s="90"/>
      <c r="U13" s="90"/>
      <c r="V13" s="3"/>
    </row>
    <row r="14" spans="2:22" ht="15.95" customHeight="1" x14ac:dyDescent="0.25">
      <c r="B14" s="594"/>
      <c r="C14" s="594"/>
      <c r="D14" s="594"/>
      <c r="E14" s="594"/>
      <c r="F14" s="594"/>
      <c r="G14" s="594"/>
      <c r="H14" s="594"/>
      <c r="I14" s="594"/>
      <c r="K14" s="26"/>
      <c r="L14" s="27" t="s">
        <v>245</v>
      </c>
      <c r="M14" s="27"/>
      <c r="N14" s="28"/>
      <c r="O14" s="28"/>
      <c r="P14" s="28"/>
      <c r="Q14" s="28"/>
      <c r="R14" s="26"/>
      <c r="S14" s="91"/>
      <c r="T14" s="90"/>
      <c r="U14" s="90"/>
      <c r="V14" s="25"/>
    </row>
    <row r="15" spans="2:22" ht="15.6" customHeight="1" x14ac:dyDescent="0.25">
      <c r="B15" s="604" t="s">
        <v>54</v>
      </c>
      <c r="C15" s="601" t="s">
        <v>107</v>
      </c>
      <c r="D15" s="594">
        <f>'Data input'!D33</f>
        <v>75</v>
      </c>
      <c r="E15" s="594">
        <f>'Data input'!E33</f>
        <v>75</v>
      </c>
      <c r="F15" s="594">
        <f>'Data input'!F33</f>
        <v>75</v>
      </c>
      <c r="G15" s="594">
        <f>'Data input'!G33</f>
        <v>75</v>
      </c>
      <c r="H15" s="594">
        <f>'Data input'!H33</f>
        <v>75</v>
      </c>
      <c r="I15" s="594" t="str">
        <f>'Data input'!I28</f>
        <v>%</v>
      </c>
      <c r="K15" s="26"/>
      <c r="L15" s="27"/>
      <c r="M15" s="27"/>
      <c r="N15" s="28"/>
      <c r="O15" s="28"/>
      <c r="P15" s="28"/>
      <c r="Q15" s="28"/>
      <c r="R15" s="26"/>
      <c r="S15" s="91"/>
      <c r="T15" s="90"/>
      <c r="U15" s="90"/>
      <c r="V15" s="25"/>
    </row>
    <row r="16" spans="2:22" ht="15.6" customHeight="1" x14ac:dyDescent="0.25">
      <c r="B16" s="594"/>
      <c r="C16" s="601" t="s">
        <v>108</v>
      </c>
      <c r="D16" s="594">
        <f>'Data input'!D34</f>
        <v>75</v>
      </c>
      <c r="E16" s="594">
        <f>'Data input'!E34</f>
        <v>75</v>
      </c>
      <c r="F16" s="594">
        <f>'Data input'!F34</f>
        <v>75</v>
      </c>
      <c r="G16" s="594">
        <f>'Data input'!G34</f>
        <v>75</v>
      </c>
      <c r="H16" s="594">
        <f>'Data input'!H34</f>
        <v>75</v>
      </c>
      <c r="I16" s="594" t="str">
        <f>'Data input'!I29</f>
        <v>%</v>
      </c>
      <c r="K16" s="26" t="s">
        <v>25</v>
      </c>
      <c r="L16" s="26"/>
      <c r="M16" s="26" t="s">
        <v>160</v>
      </c>
      <c r="N16" s="26"/>
      <c r="O16" s="26"/>
      <c r="P16" s="26"/>
      <c r="Q16" s="26"/>
      <c r="R16" s="26"/>
      <c r="S16" s="252"/>
      <c r="T16" s="252"/>
      <c r="U16" s="252"/>
      <c r="V16" s="25"/>
    </row>
    <row r="17" spans="1:29" ht="15.95" customHeight="1" x14ac:dyDescent="0.25">
      <c r="B17" s="594"/>
      <c r="C17" s="601" t="s">
        <v>109</v>
      </c>
      <c r="D17" s="594">
        <f>'Data input'!D35</f>
        <v>75</v>
      </c>
      <c r="E17" s="594">
        <f>'Data input'!E35</f>
        <v>75</v>
      </c>
      <c r="F17" s="594">
        <f>'Data input'!F35</f>
        <v>75</v>
      </c>
      <c r="G17" s="594">
        <f>'Data input'!G35</f>
        <v>75</v>
      </c>
      <c r="H17" s="594">
        <f>'Data input'!H35</f>
        <v>75</v>
      </c>
      <c r="I17" s="594" t="str">
        <f>'Data input'!I30</f>
        <v>%</v>
      </c>
      <c r="K17" s="26"/>
      <c r="L17" s="26"/>
      <c r="M17" s="26"/>
      <c r="N17" s="26"/>
      <c r="O17" s="26"/>
      <c r="P17" s="26"/>
      <c r="Q17" s="26"/>
      <c r="R17" s="26"/>
      <c r="S17" s="252"/>
      <c r="T17" s="252"/>
      <c r="U17" s="252"/>
      <c r="V17" s="25"/>
      <c r="W17" s="3"/>
      <c r="X17" s="3"/>
      <c r="Y17" s="3"/>
      <c r="Z17" s="3"/>
      <c r="AA17" s="3"/>
      <c r="AB17" s="3"/>
      <c r="AC17" s="3"/>
    </row>
    <row r="18" spans="1:29" ht="16.7" customHeight="1" x14ac:dyDescent="0.25">
      <c r="B18" s="594"/>
      <c r="C18" s="601" t="s">
        <v>110</v>
      </c>
      <c r="D18" s="594">
        <f>'Data input'!D36</f>
        <v>75</v>
      </c>
      <c r="E18" s="594">
        <f>'Data input'!E36</f>
        <v>75</v>
      </c>
      <c r="F18" s="594">
        <f>'Data input'!F36</f>
        <v>75</v>
      </c>
      <c r="G18" s="594">
        <f>'Data input'!G36</f>
        <v>75</v>
      </c>
      <c r="H18" s="594">
        <f>'Data input'!H36</f>
        <v>75</v>
      </c>
      <c r="I18" s="594" t="str">
        <f>'Data input'!I31</f>
        <v>%</v>
      </c>
      <c r="K18" s="26" t="s">
        <v>267</v>
      </c>
      <c r="L18" s="26" t="s">
        <v>107</v>
      </c>
      <c r="M18" s="26">
        <f>M6*$C$39*$C$21*$K$20*$C$22</f>
        <v>6.8844185889053401E-3</v>
      </c>
      <c r="N18" s="26">
        <f>N6*$C$40*$C$21*$K$20*$C$22</f>
        <v>3.1617077543416579E-3</v>
      </c>
      <c r="O18" s="26">
        <f t="shared" ref="O18:Q18" si="1">O6*$C$40*$C$21*$K$20*$C$22</f>
        <v>1.9045667160519375E-3</v>
      </c>
      <c r="P18" s="26">
        <f t="shared" si="1"/>
        <v>3.8394827843051512E-3</v>
      </c>
      <c r="Q18" s="26">
        <f t="shared" si="1"/>
        <v>2.3519550282192006E-3</v>
      </c>
      <c r="R18" s="27" t="s">
        <v>61</v>
      </c>
      <c r="S18" s="252"/>
      <c r="T18" s="252"/>
      <c r="U18" s="252"/>
      <c r="V18" s="3"/>
      <c r="W18" s="3"/>
      <c r="X18" s="3"/>
      <c r="Y18" s="3"/>
      <c r="Z18" s="3"/>
      <c r="AA18" s="3"/>
      <c r="AB18" s="3"/>
      <c r="AC18" s="3"/>
    </row>
    <row r="19" spans="1:29" x14ac:dyDescent="0.25">
      <c r="B19" s="594"/>
      <c r="C19" s="594"/>
      <c r="D19" s="594"/>
      <c r="E19" s="594"/>
      <c r="F19" s="594"/>
      <c r="G19" s="594"/>
      <c r="H19" s="594"/>
      <c r="I19" s="594"/>
      <c r="K19" s="26" t="s">
        <v>835</v>
      </c>
      <c r="L19" s="26" t="s">
        <v>108</v>
      </c>
      <c r="M19" s="26">
        <f t="shared" ref="M19:M21" si="2">M7*$C$39*$C$21*$K$20*$C$22</f>
        <v>6.8844185889053401E-3</v>
      </c>
      <c r="N19" s="26">
        <f t="shared" ref="N19:Q19" si="3">N7*$C$40*$C$21*$K$20*$C$22</f>
        <v>3.1617077543416579E-3</v>
      </c>
      <c r="O19" s="26">
        <f t="shared" si="3"/>
        <v>1.9045667160519375E-3</v>
      </c>
      <c r="P19" s="26">
        <f t="shared" si="3"/>
        <v>3.8394827843051512E-3</v>
      </c>
      <c r="Q19" s="26">
        <f t="shared" si="3"/>
        <v>2.3519550282192006E-3</v>
      </c>
      <c r="R19" s="27" t="s">
        <v>61</v>
      </c>
      <c r="S19" s="252"/>
      <c r="T19" s="252"/>
      <c r="U19" s="252"/>
      <c r="V19" s="3"/>
      <c r="W19" s="3"/>
      <c r="X19" s="3"/>
      <c r="Y19" s="3"/>
      <c r="Z19" s="3"/>
      <c r="AA19" s="3"/>
      <c r="AB19" s="3"/>
      <c r="AC19" s="3"/>
    </row>
    <row r="20" spans="1:29" x14ac:dyDescent="0.25">
      <c r="B20" s="599" t="s">
        <v>64</v>
      </c>
      <c r="C20" s="605">
        <v>0.08</v>
      </c>
      <c r="D20" s="594"/>
      <c r="E20" s="605"/>
      <c r="F20" s="605"/>
      <c r="G20" s="605"/>
      <c r="H20" s="605"/>
      <c r="I20" s="605" t="s">
        <v>16</v>
      </c>
      <c r="K20" s="593">
        <f>INDEX(D28:D36,MATCH(C24,C28:C36,0))</f>
        <v>0.01</v>
      </c>
      <c r="L20" s="26" t="s">
        <v>109</v>
      </c>
      <c r="M20" s="26">
        <f t="shared" si="2"/>
        <v>6.8844185889053401E-3</v>
      </c>
      <c r="N20" s="26">
        <f t="shared" ref="N20:Q20" si="4">N8*$C$40*$C$21*$K$20*$C$22</f>
        <v>3.1617077543416579E-3</v>
      </c>
      <c r="O20" s="26">
        <f t="shared" si="4"/>
        <v>1.9045667160519375E-3</v>
      </c>
      <c r="P20" s="26">
        <f t="shared" si="4"/>
        <v>3.8394827843051512E-3</v>
      </c>
      <c r="Q20" s="26">
        <f t="shared" si="4"/>
        <v>2.3519550282192006E-3</v>
      </c>
      <c r="R20" s="27" t="s">
        <v>61</v>
      </c>
      <c r="S20" s="252"/>
      <c r="T20" s="252"/>
      <c r="U20" s="252"/>
      <c r="V20" s="3"/>
      <c r="W20" s="3"/>
      <c r="X20" s="3"/>
      <c r="Y20" s="3"/>
    </row>
    <row r="21" spans="1:29" x14ac:dyDescent="0.25">
      <c r="B21" s="599" t="s">
        <v>66</v>
      </c>
      <c r="C21" s="605">
        <v>0.24</v>
      </c>
      <c r="D21" s="594"/>
      <c r="E21" s="605"/>
      <c r="F21" s="605"/>
      <c r="G21" s="605"/>
      <c r="H21" s="605"/>
      <c r="I21" s="605" t="s">
        <v>67</v>
      </c>
      <c r="K21" s="26"/>
      <c r="L21" s="26" t="s">
        <v>110</v>
      </c>
      <c r="M21" s="26">
        <f t="shared" si="2"/>
        <v>6.8844185889053401E-3</v>
      </c>
      <c r="N21" s="26">
        <f t="shared" ref="N21:Q21" si="5">N9*$C$40*$C$21*$K$20*$C$22</f>
        <v>3.1617077543416579E-3</v>
      </c>
      <c r="O21" s="26">
        <f t="shared" si="5"/>
        <v>1.9045667160519375E-3</v>
      </c>
      <c r="P21" s="26">
        <f t="shared" si="5"/>
        <v>3.8394827843051512E-3</v>
      </c>
      <c r="Q21" s="26">
        <f t="shared" si="5"/>
        <v>2.3519550282192006E-3</v>
      </c>
      <c r="R21" s="27" t="s">
        <v>61</v>
      </c>
      <c r="S21" s="252"/>
      <c r="T21" s="252"/>
      <c r="U21" s="252"/>
      <c r="V21" s="3"/>
      <c r="W21" s="3"/>
      <c r="X21" s="3"/>
      <c r="Y21" s="3"/>
    </row>
    <row r="22" spans="1:29" x14ac:dyDescent="0.25">
      <c r="B22" s="599" t="s">
        <v>763</v>
      </c>
      <c r="C22" s="605">
        <v>0.6784</v>
      </c>
      <c r="D22" s="596"/>
      <c r="E22" s="605"/>
      <c r="F22" s="605"/>
      <c r="G22" s="605"/>
      <c r="H22" s="605"/>
      <c r="I22" s="605" t="s">
        <v>18</v>
      </c>
      <c r="K22" s="26"/>
      <c r="L22" s="26"/>
      <c r="M22" s="26"/>
      <c r="N22" s="26"/>
      <c r="O22" s="26"/>
      <c r="P22" s="26"/>
      <c r="Q22" s="26"/>
      <c r="R22" s="26"/>
      <c r="S22" s="252"/>
      <c r="T22" s="252"/>
      <c r="U22" s="252"/>
      <c r="V22" s="3"/>
      <c r="W22" s="3"/>
      <c r="X22" s="3"/>
      <c r="Y22" s="3"/>
    </row>
    <row r="23" spans="1:29" x14ac:dyDescent="0.25">
      <c r="B23" s="599" t="s">
        <v>243</v>
      </c>
      <c r="C23" s="605">
        <v>0.24</v>
      </c>
      <c r="D23" s="596"/>
      <c r="E23" s="605"/>
      <c r="F23" s="605"/>
      <c r="G23" s="605"/>
      <c r="H23" s="605"/>
      <c r="I23" s="605" t="s">
        <v>244</v>
      </c>
      <c r="K23" s="26" t="s">
        <v>268</v>
      </c>
      <c r="L23" s="26" t="s">
        <v>107</v>
      </c>
      <c r="M23" s="26">
        <f>M6*$D$39*$C$21*$K$25*$C$22</f>
        <v>6.6320416350588857E-2</v>
      </c>
      <c r="N23" s="26">
        <f>N6*$D$40*$C$21*$K$25*$C$22</f>
        <v>0</v>
      </c>
      <c r="O23" s="26">
        <f t="shared" ref="O23:Q23" si="6">O6*$D$40*$C$21*$K$25*$C$22</f>
        <v>0</v>
      </c>
      <c r="P23" s="26">
        <f t="shared" si="6"/>
        <v>0</v>
      </c>
      <c r="Q23" s="26">
        <f t="shared" si="6"/>
        <v>0</v>
      </c>
      <c r="R23" s="27" t="s">
        <v>61</v>
      </c>
      <c r="S23" s="252"/>
      <c r="T23" s="252"/>
      <c r="U23" s="252"/>
      <c r="V23" s="3"/>
      <c r="W23" s="3"/>
      <c r="X23" s="3"/>
      <c r="Y23" s="3"/>
    </row>
    <row r="24" spans="1:29" ht="15.6" customHeight="1" x14ac:dyDescent="0.25">
      <c r="A24"/>
      <c r="B24" s="599" t="s">
        <v>247</v>
      </c>
      <c r="C24" s="605">
        <f>'Data input'!E3</f>
        <v>3</v>
      </c>
      <c r="D24" s="596"/>
      <c r="E24" s="605"/>
      <c r="F24" s="605"/>
      <c r="G24" s="605"/>
      <c r="H24" s="605"/>
      <c r="I24" s="605"/>
      <c r="J24"/>
      <c r="K24" s="26" t="s">
        <v>835</v>
      </c>
      <c r="L24" s="26" t="s">
        <v>108</v>
      </c>
      <c r="M24" s="26">
        <f t="shared" ref="M24:M26" si="7">M7*$D$39*$C$21*$K$25*$C$22</f>
        <v>6.6320416350588857E-2</v>
      </c>
      <c r="N24" s="26">
        <f t="shared" ref="N24:Q24" si="8">N7*$D$40*$C$21*$K$25*$C$22</f>
        <v>0</v>
      </c>
      <c r="O24" s="26">
        <f t="shared" si="8"/>
        <v>0</v>
      </c>
      <c r="P24" s="26">
        <f t="shared" si="8"/>
        <v>0</v>
      </c>
      <c r="Q24" s="26">
        <f t="shared" si="8"/>
        <v>0</v>
      </c>
      <c r="R24" s="27" t="s">
        <v>61</v>
      </c>
      <c r="S24" s="252"/>
      <c r="T24" s="252"/>
      <c r="U24" s="252"/>
      <c r="V24" s="88"/>
      <c r="W24" s="89"/>
      <c r="X24" s="5"/>
      <c r="Y24" s="3"/>
    </row>
    <row r="25" spans="1:29" ht="16.7" customHeight="1" x14ac:dyDescent="0.25">
      <c r="A25"/>
      <c r="B25" s="595"/>
      <c r="C25" s="595"/>
      <c r="D25" s="595"/>
      <c r="E25" s="595"/>
      <c r="F25" s="595"/>
      <c r="G25" s="595"/>
      <c r="H25" s="595"/>
      <c r="I25" s="595"/>
      <c r="J25"/>
      <c r="K25" s="593">
        <f>INDEX(E28:E36,MATCH(C24,C28:C36,0))</f>
        <v>0.7</v>
      </c>
      <c r="L25" s="26" t="s">
        <v>109</v>
      </c>
      <c r="M25" s="26">
        <f t="shared" si="7"/>
        <v>6.6320416350588857E-2</v>
      </c>
      <c r="N25" s="26">
        <f t="shared" ref="N25:Q25" si="9">N8*$D$40*$C$21*$K$25*$C$22</f>
        <v>0</v>
      </c>
      <c r="O25" s="26">
        <f t="shared" si="9"/>
        <v>0</v>
      </c>
      <c r="P25" s="26">
        <f t="shared" si="9"/>
        <v>0</v>
      </c>
      <c r="Q25" s="26">
        <f t="shared" si="9"/>
        <v>0</v>
      </c>
      <c r="R25" s="27" t="s">
        <v>61</v>
      </c>
      <c r="S25" s="252"/>
      <c r="T25" s="252"/>
      <c r="U25" s="252"/>
      <c r="V25" s="88"/>
      <c r="W25" s="89"/>
      <c r="X25" s="5"/>
      <c r="Y25" s="3"/>
    </row>
    <row r="26" spans="1:29" ht="15" customHeight="1" x14ac:dyDescent="0.25">
      <c r="B26" s="614" t="s">
        <v>829</v>
      </c>
      <c r="C26" s="615"/>
      <c r="D26" s="607"/>
      <c r="E26" s="607"/>
      <c r="F26" s="607"/>
      <c r="G26" s="607"/>
      <c r="H26" s="607"/>
      <c r="I26" s="608"/>
      <c r="K26" s="26"/>
      <c r="L26" s="26" t="s">
        <v>110</v>
      </c>
      <c r="M26" s="26">
        <f t="shared" si="7"/>
        <v>6.6320416350588857E-2</v>
      </c>
      <c r="N26" s="26">
        <f t="shared" ref="N26:Q26" si="10">N9*$D$40*$C$21*$K$25*$C$22</f>
        <v>0</v>
      </c>
      <c r="O26" s="26">
        <f t="shared" si="10"/>
        <v>0</v>
      </c>
      <c r="P26" s="26">
        <f t="shared" si="10"/>
        <v>0</v>
      </c>
      <c r="Q26" s="26">
        <f t="shared" si="10"/>
        <v>0</v>
      </c>
      <c r="R26" s="27" t="s">
        <v>61</v>
      </c>
      <c r="S26" s="252"/>
      <c r="T26" s="252"/>
      <c r="U26" s="252"/>
      <c r="V26" s="24"/>
      <c r="W26" s="85"/>
      <c r="X26" s="77"/>
      <c r="Y26" s="77"/>
    </row>
    <row r="27" spans="1:29" x14ac:dyDescent="0.25">
      <c r="B27" s="614" t="s">
        <v>0</v>
      </c>
      <c r="C27" s="616" t="s">
        <v>247</v>
      </c>
      <c r="D27" s="616" t="s">
        <v>830</v>
      </c>
      <c r="E27" s="616" t="s">
        <v>831</v>
      </c>
      <c r="F27" s="616" t="s">
        <v>832</v>
      </c>
      <c r="G27" s="616" t="s">
        <v>833</v>
      </c>
      <c r="H27" s="616" t="s">
        <v>463</v>
      </c>
      <c r="I27" s="608"/>
      <c r="K27" s="26"/>
      <c r="L27" s="26"/>
      <c r="M27" s="26"/>
      <c r="N27" s="26"/>
      <c r="O27" s="26"/>
      <c r="P27" s="26"/>
      <c r="Q27" s="26"/>
      <c r="R27" s="26"/>
      <c r="S27" s="252"/>
      <c r="T27" s="252"/>
      <c r="U27" s="252"/>
      <c r="V27" s="24"/>
      <c r="W27" s="85"/>
      <c r="X27" s="5"/>
      <c r="Y27" s="3"/>
    </row>
    <row r="28" spans="1:29" x14ac:dyDescent="0.25">
      <c r="B28" s="609" t="s">
        <v>230</v>
      </c>
      <c r="C28" s="596">
        <v>1</v>
      </c>
      <c r="D28" s="596">
        <v>0.01</v>
      </c>
      <c r="E28" s="596">
        <v>0.73</v>
      </c>
      <c r="F28" s="596">
        <v>5.0000000000000001E-3</v>
      </c>
      <c r="G28" s="596">
        <v>0.15</v>
      </c>
      <c r="H28" s="596">
        <v>0.02</v>
      </c>
      <c r="I28" s="610"/>
      <c r="K28" s="26" t="s">
        <v>269</v>
      </c>
      <c r="L28" s="26" t="s">
        <v>107</v>
      </c>
      <c r="M28" s="26">
        <f>M6*$E$39*$C$21*$K$30*$C$22</f>
        <v>8.9842928553753386E-6</v>
      </c>
      <c r="N28" s="26">
        <f>N6*$E$40*$C$21*$K$30*$C$22</f>
        <v>0</v>
      </c>
      <c r="O28" s="26">
        <f t="shared" ref="O28:Q28" si="11">O6*$E$40*$C$21*$K$30*$C$22</f>
        <v>0</v>
      </c>
      <c r="P28" s="26">
        <f t="shared" si="11"/>
        <v>0</v>
      </c>
      <c r="Q28" s="26">
        <f t="shared" si="11"/>
        <v>0</v>
      </c>
      <c r="R28" s="27" t="s">
        <v>61</v>
      </c>
      <c r="S28" s="252"/>
      <c r="T28" s="252"/>
      <c r="U28" s="252"/>
      <c r="V28" s="24"/>
      <c r="W28" s="85"/>
      <c r="X28" s="5"/>
      <c r="Y28" s="3"/>
    </row>
    <row r="29" spans="1:29" x14ac:dyDescent="0.25">
      <c r="B29" s="609" t="s">
        <v>231</v>
      </c>
      <c r="C29" s="596">
        <v>2</v>
      </c>
      <c r="D29" s="596">
        <v>0.01</v>
      </c>
      <c r="E29" s="596">
        <v>0.75</v>
      </c>
      <c r="F29" s="596">
        <v>5.0000000000000001E-3</v>
      </c>
      <c r="G29" s="596">
        <v>0.18</v>
      </c>
      <c r="H29" s="596">
        <v>0.02</v>
      </c>
      <c r="I29" s="610"/>
      <c r="K29" s="26" t="s">
        <v>835</v>
      </c>
      <c r="L29" s="26" t="s">
        <v>108</v>
      </c>
      <c r="M29" s="26">
        <f t="shared" ref="M29:M31" si="12">M7*$E$39*$C$21*$K$30*$C$22</f>
        <v>8.9842928553753386E-6</v>
      </c>
      <c r="N29" s="26">
        <f t="shared" ref="N29:Q29" si="13">N7*$E$40*$C$21*$K$30*$C$22</f>
        <v>0</v>
      </c>
      <c r="O29" s="26">
        <f t="shared" si="13"/>
        <v>0</v>
      </c>
      <c r="P29" s="26">
        <f t="shared" si="13"/>
        <v>0</v>
      </c>
      <c r="Q29" s="26">
        <f t="shared" si="13"/>
        <v>0</v>
      </c>
      <c r="R29" s="27" t="s">
        <v>61</v>
      </c>
      <c r="S29" s="252"/>
      <c r="T29" s="252"/>
      <c r="U29" s="252"/>
      <c r="V29" s="24"/>
      <c r="W29" s="85"/>
      <c r="X29" s="5"/>
      <c r="Y29" s="3"/>
    </row>
    <row r="30" spans="1:29" x14ac:dyDescent="0.25">
      <c r="A30" s="6"/>
      <c r="B30" s="609" t="s">
        <v>232</v>
      </c>
      <c r="C30" s="596">
        <v>8</v>
      </c>
      <c r="D30" s="596">
        <v>0.02</v>
      </c>
      <c r="E30" s="596">
        <v>0.8</v>
      </c>
      <c r="F30" s="596">
        <v>0.01</v>
      </c>
      <c r="G30" s="596">
        <v>0.5</v>
      </c>
      <c r="H30" s="596">
        <v>0.02</v>
      </c>
      <c r="I30" s="610"/>
      <c r="J30" s="6"/>
      <c r="K30" s="593">
        <f>INDEX(F28:F36,MATCH(C24,C28:C36,0))</f>
        <v>1E-3</v>
      </c>
      <c r="L30" s="26" t="s">
        <v>109</v>
      </c>
      <c r="M30" s="26">
        <f t="shared" si="12"/>
        <v>8.9842928553753386E-6</v>
      </c>
      <c r="N30" s="26">
        <f t="shared" ref="N30:Q30" si="14">N8*$E$40*$C$21*$K$30*$C$22</f>
        <v>0</v>
      </c>
      <c r="O30" s="26">
        <f t="shared" si="14"/>
        <v>0</v>
      </c>
      <c r="P30" s="26">
        <f t="shared" si="14"/>
        <v>0</v>
      </c>
      <c r="Q30" s="26">
        <f t="shared" si="14"/>
        <v>0</v>
      </c>
      <c r="R30" s="27" t="s">
        <v>61</v>
      </c>
      <c r="S30" s="252"/>
      <c r="T30" s="252"/>
      <c r="U30" s="252"/>
      <c r="V30" s="24"/>
      <c r="W30" s="85"/>
      <c r="X30" s="5"/>
      <c r="Y30" s="3"/>
    </row>
    <row r="31" spans="1:29" x14ac:dyDescent="0.25">
      <c r="B31" s="609" t="s">
        <v>233</v>
      </c>
      <c r="C31" s="596">
        <v>7</v>
      </c>
      <c r="D31" s="596">
        <v>0.01</v>
      </c>
      <c r="E31" s="596">
        <v>0.77</v>
      </c>
      <c r="F31" s="596">
        <v>5.0000000000000001E-3</v>
      </c>
      <c r="G31" s="596">
        <v>0.24</v>
      </c>
      <c r="H31" s="596">
        <v>0.02</v>
      </c>
      <c r="I31" s="610"/>
      <c r="K31" s="26"/>
      <c r="L31" s="26" t="s">
        <v>110</v>
      </c>
      <c r="M31" s="26">
        <f t="shared" si="12"/>
        <v>8.9842928553753386E-6</v>
      </c>
      <c r="N31" s="26">
        <f t="shared" ref="N31:Q31" si="15">N9*$E$40*$C$21*$K$30*$C$22</f>
        <v>0</v>
      </c>
      <c r="O31" s="26">
        <f t="shared" si="15"/>
        <v>0</v>
      </c>
      <c r="P31" s="26">
        <f t="shared" si="15"/>
        <v>0</v>
      </c>
      <c r="Q31" s="26">
        <f t="shared" si="15"/>
        <v>0</v>
      </c>
      <c r="R31" s="27" t="s">
        <v>61</v>
      </c>
      <c r="S31" s="252"/>
      <c r="T31" s="252"/>
      <c r="U31" s="252"/>
      <c r="V31" s="24"/>
      <c r="W31" s="24"/>
      <c r="X31" s="24"/>
      <c r="Y31" s="24"/>
      <c r="Z31" s="24"/>
      <c r="AA31" s="85"/>
      <c r="AB31" s="25"/>
      <c r="AC31" s="25"/>
    </row>
    <row r="32" spans="1:29" x14ac:dyDescent="0.25">
      <c r="B32" s="609" t="s">
        <v>234</v>
      </c>
      <c r="C32" s="596">
        <v>5</v>
      </c>
      <c r="D32" s="596">
        <v>0.01</v>
      </c>
      <c r="E32" s="596">
        <v>0.74</v>
      </c>
      <c r="F32" s="596">
        <v>5.0000000000000001E-3</v>
      </c>
      <c r="G32" s="596">
        <v>0.17</v>
      </c>
      <c r="H32" s="596">
        <v>0.02</v>
      </c>
      <c r="I32" s="610"/>
      <c r="K32" s="26"/>
      <c r="L32" s="26"/>
      <c r="M32" s="26"/>
      <c r="N32" s="26"/>
      <c r="O32" s="26"/>
      <c r="P32" s="26"/>
      <c r="Q32" s="26"/>
      <c r="R32" s="26"/>
      <c r="S32" s="252"/>
      <c r="T32" s="252"/>
      <c r="U32" s="252"/>
      <c r="V32" s="24"/>
      <c r="W32" s="24"/>
      <c r="X32" s="24"/>
      <c r="Y32" s="24"/>
      <c r="Z32" s="24"/>
      <c r="AA32" s="85"/>
      <c r="AB32" s="25"/>
      <c r="AC32" s="25"/>
    </row>
    <row r="33" spans="1:29" ht="15.95" customHeight="1" x14ac:dyDescent="0.25">
      <c r="B33" s="609" t="s">
        <v>235</v>
      </c>
      <c r="C33" s="596">
        <v>3</v>
      </c>
      <c r="D33" s="596">
        <v>0.01</v>
      </c>
      <c r="E33" s="596">
        <v>0.7</v>
      </c>
      <c r="F33" s="596">
        <v>1E-3</v>
      </c>
      <c r="G33" s="596">
        <v>0.15</v>
      </c>
      <c r="H33" s="596">
        <v>0.02</v>
      </c>
      <c r="I33" s="610"/>
      <c r="K33" s="26" t="s">
        <v>270</v>
      </c>
      <c r="L33" s="26" t="s">
        <v>107</v>
      </c>
      <c r="M33" s="26">
        <f>M6*$F$39*$C$21*$K$35*$C$22</f>
        <v>6.7382196415315045E-4</v>
      </c>
      <c r="N33" s="26">
        <f>N6*$F$40*$C$21*$K$35*$C$22</f>
        <v>0</v>
      </c>
      <c r="O33" s="26">
        <f t="shared" ref="O33:Q33" si="16">O6*$F$40*$C$21*$K$35*$C$22</f>
        <v>0</v>
      </c>
      <c r="P33" s="26">
        <f t="shared" si="16"/>
        <v>0</v>
      </c>
      <c r="Q33" s="26">
        <f t="shared" si="16"/>
        <v>0</v>
      </c>
      <c r="R33" s="27" t="s">
        <v>61</v>
      </c>
      <c r="S33" s="252"/>
      <c r="T33" s="252"/>
      <c r="U33" s="252"/>
      <c r="V33" s="85"/>
      <c r="W33" s="85"/>
      <c r="X33" s="85"/>
      <c r="Y33" s="85"/>
      <c r="Z33" s="85"/>
      <c r="AA33" s="85"/>
      <c r="AB33" s="25"/>
      <c r="AC33" s="25"/>
    </row>
    <row r="34" spans="1:29" x14ac:dyDescent="0.25">
      <c r="B34" s="609" t="s">
        <v>236</v>
      </c>
      <c r="C34" s="596">
        <v>6</v>
      </c>
      <c r="D34" s="596">
        <v>0.01</v>
      </c>
      <c r="E34" s="596">
        <v>0.74</v>
      </c>
      <c r="F34" s="596">
        <v>5.0000000000000001E-3</v>
      </c>
      <c r="G34" s="596">
        <v>0.17</v>
      </c>
      <c r="H34" s="596">
        <v>0.02</v>
      </c>
      <c r="I34" s="610"/>
      <c r="K34" s="26" t="s">
        <v>835</v>
      </c>
      <c r="L34" s="26" t="s">
        <v>108</v>
      </c>
      <c r="M34" s="26">
        <f t="shared" ref="M34:M36" si="17">M7*$F$39*$C$21*$K$35*$C$22</f>
        <v>6.7382196415315045E-4</v>
      </c>
      <c r="N34" s="26">
        <f t="shared" ref="N34:Q34" si="18">N7*$F$40*$C$21*$K$35*$C$22</f>
        <v>0</v>
      </c>
      <c r="O34" s="26">
        <f t="shared" si="18"/>
        <v>0</v>
      </c>
      <c r="P34" s="26">
        <f t="shared" si="18"/>
        <v>0</v>
      </c>
      <c r="Q34" s="26">
        <f t="shared" si="18"/>
        <v>0</v>
      </c>
      <c r="R34" s="27" t="s">
        <v>61</v>
      </c>
      <c r="S34" s="252"/>
      <c r="T34" s="252"/>
      <c r="U34" s="252"/>
      <c r="V34" s="25"/>
      <c r="W34" s="77"/>
      <c r="X34" s="25"/>
      <c r="Y34" s="25"/>
      <c r="Z34" s="25"/>
      <c r="AA34" s="25"/>
      <c r="AB34" s="25"/>
      <c r="AC34" s="25"/>
    </row>
    <row r="35" spans="1:29" x14ac:dyDescent="0.25">
      <c r="B35" s="609" t="s">
        <v>486</v>
      </c>
      <c r="C35" s="596">
        <v>4</v>
      </c>
      <c r="D35" s="596">
        <v>0.01</v>
      </c>
      <c r="E35" s="596">
        <v>0.75</v>
      </c>
      <c r="F35" s="596">
        <v>5.0000000000000001E-3</v>
      </c>
      <c r="G35" s="596">
        <v>0.18</v>
      </c>
      <c r="H35" s="596">
        <v>0.02</v>
      </c>
      <c r="I35" s="610"/>
      <c r="K35" s="593">
        <f>INDEX(G28:G36,MATCH(C24,C28:C36,0))</f>
        <v>0.15</v>
      </c>
      <c r="L35" s="26" t="s">
        <v>109</v>
      </c>
      <c r="M35" s="26">
        <f t="shared" si="17"/>
        <v>6.7382196415315045E-4</v>
      </c>
      <c r="N35" s="26">
        <f t="shared" ref="N35:Q35" si="19">N8*$F$40*$C$21*$K$35*$C$22</f>
        <v>0</v>
      </c>
      <c r="O35" s="26">
        <f t="shared" si="19"/>
        <v>0</v>
      </c>
      <c r="P35" s="26">
        <f t="shared" si="19"/>
        <v>0</v>
      </c>
      <c r="Q35" s="26">
        <f t="shared" si="19"/>
        <v>0</v>
      </c>
      <c r="R35" s="27" t="s">
        <v>61</v>
      </c>
      <c r="S35" s="252"/>
      <c r="T35" s="252"/>
      <c r="U35" s="252"/>
      <c r="V35" s="25"/>
      <c r="W35" s="25"/>
      <c r="X35" s="25"/>
      <c r="Y35" s="25"/>
      <c r="Z35" s="25"/>
      <c r="AA35" s="25"/>
      <c r="AB35" s="25"/>
      <c r="AC35" s="25"/>
    </row>
    <row r="36" spans="1:29" x14ac:dyDescent="0.25">
      <c r="B36" s="611" t="s">
        <v>505</v>
      </c>
      <c r="C36" s="612">
        <v>9</v>
      </c>
      <c r="D36" s="612">
        <v>0.02</v>
      </c>
      <c r="E36" s="612">
        <v>0.8</v>
      </c>
      <c r="F36" s="612">
        <v>0.01</v>
      </c>
      <c r="G36" s="612">
        <v>0.5</v>
      </c>
      <c r="H36" s="612">
        <v>0.02</v>
      </c>
      <c r="I36" s="613"/>
      <c r="K36" s="26"/>
      <c r="L36" s="26" t="s">
        <v>110</v>
      </c>
      <c r="M36" s="26">
        <f t="shared" si="17"/>
        <v>6.7382196415315045E-4</v>
      </c>
      <c r="N36" s="26">
        <f t="shared" ref="N36:Q36" si="20">N9*$F$40*$C$21*$K$35*$C$22</f>
        <v>0</v>
      </c>
      <c r="O36" s="26">
        <f t="shared" si="20"/>
        <v>0</v>
      </c>
      <c r="P36" s="26">
        <f t="shared" si="20"/>
        <v>0</v>
      </c>
      <c r="Q36" s="26">
        <f t="shared" si="20"/>
        <v>0</v>
      </c>
      <c r="R36" s="27" t="s">
        <v>61</v>
      </c>
      <c r="S36" s="252"/>
      <c r="T36" s="252"/>
      <c r="U36" s="252"/>
      <c r="V36" s="25"/>
      <c r="W36" s="25"/>
      <c r="X36" s="77"/>
      <c r="Y36" s="25"/>
      <c r="Z36" s="25"/>
      <c r="AA36" s="25"/>
      <c r="AB36" s="25"/>
      <c r="AC36" s="25"/>
    </row>
    <row r="37" spans="1:29" x14ac:dyDescent="0.25">
      <c r="B37" s="594"/>
      <c r="C37" s="594"/>
      <c r="D37" s="594"/>
      <c r="E37" s="594"/>
      <c r="F37" s="594"/>
      <c r="G37" s="594"/>
      <c r="H37" s="594"/>
      <c r="I37" s="594"/>
      <c r="K37" s="26"/>
      <c r="L37" s="26"/>
      <c r="M37" s="26"/>
      <c r="N37" s="26"/>
      <c r="O37" s="26"/>
      <c r="P37" s="26"/>
      <c r="Q37" s="26"/>
      <c r="R37" s="26"/>
      <c r="S37" s="252"/>
      <c r="T37" s="252"/>
      <c r="U37" s="252"/>
      <c r="V37" s="25"/>
      <c r="W37" s="25"/>
      <c r="X37" s="77"/>
      <c r="Y37" s="25"/>
      <c r="Z37" s="25"/>
      <c r="AA37" s="25"/>
      <c r="AB37" s="25"/>
      <c r="AC37" s="25"/>
    </row>
    <row r="38" spans="1:29" x14ac:dyDescent="0.25">
      <c r="B38" s="606"/>
      <c r="C38" s="607" t="s">
        <v>185</v>
      </c>
      <c r="D38" s="607" t="s">
        <v>272</v>
      </c>
      <c r="E38" s="607" t="s">
        <v>263</v>
      </c>
      <c r="F38" s="607" t="s">
        <v>264</v>
      </c>
      <c r="G38" s="607" t="s">
        <v>273</v>
      </c>
      <c r="H38" s="607"/>
      <c r="I38" s="608"/>
      <c r="K38" s="26" t="s">
        <v>271</v>
      </c>
      <c r="L38" s="26" t="s">
        <v>107</v>
      </c>
      <c r="M38" s="26">
        <f>M6*$G$39*$C$21*$K$40*$C$22</f>
        <v>4.0184291680406064E-4</v>
      </c>
      <c r="N38" s="26">
        <f>N6*$G$40*$C$21*$K$40*$C$22</f>
        <v>0</v>
      </c>
      <c r="O38" s="26">
        <f t="shared" ref="O38:Q38" si="21">O6*$G$40*$C$21*$K$40*$C$22</f>
        <v>0</v>
      </c>
      <c r="P38" s="26">
        <f t="shared" si="21"/>
        <v>0</v>
      </c>
      <c r="Q38" s="26">
        <f t="shared" si="21"/>
        <v>0</v>
      </c>
      <c r="R38" s="27" t="s">
        <v>61</v>
      </c>
      <c r="S38" s="252"/>
      <c r="T38" s="252"/>
      <c r="U38" s="252"/>
      <c r="V38" s="25"/>
      <c r="W38" s="25"/>
      <c r="X38" s="25"/>
      <c r="Y38" s="25"/>
      <c r="Z38" s="25"/>
      <c r="AA38" s="25"/>
      <c r="AB38" s="25"/>
      <c r="AC38" s="25"/>
    </row>
    <row r="39" spans="1:29" s="6" customFormat="1" x14ac:dyDescent="0.25">
      <c r="A39" s="1"/>
      <c r="B39" s="609" t="s">
        <v>146</v>
      </c>
      <c r="C39" s="596">
        <f>'Data input'!C97/100</f>
        <v>0.84290000000000009</v>
      </c>
      <c r="D39" s="596">
        <f>'Data input'!D97/100</f>
        <v>0.11599999999999999</v>
      </c>
      <c r="E39" s="596">
        <f>'Data input'!E97/100</f>
        <v>1.1000000000000001E-2</v>
      </c>
      <c r="F39" s="596">
        <f>'Data input'!F97/100</f>
        <v>5.5000000000000005E-3</v>
      </c>
      <c r="G39" s="596">
        <f>'Data input'!G97/100</f>
        <v>2.46E-2</v>
      </c>
      <c r="H39" s="596"/>
      <c r="I39" s="610" t="s">
        <v>294</v>
      </c>
      <c r="J39" s="1"/>
      <c r="K39" s="26" t="s">
        <v>835</v>
      </c>
      <c r="L39" s="26" t="s">
        <v>108</v>
      </c>
      <c r="M39" s="26">
        <f t="shared" ref="M39:M41" si="22">M7*$G$39*$C$21*$K$40*$C$22</f>
        <v>4.0184291680406064E-4</v>
      </c>
      <c r="N39" s="26">
        <f t="shared" ref="N39:Q39" si="23">N7*$G$40*$C$21*$K$40*$C$22</f>
        <v>0</v>
      </c>
      <c r="O39" s="26">
        <f t="shared" si="23"/>
        <v>0</v>
      </c>
      <c r="P39" s="26">
        <f t="shared" si="23"/>
        <v>0</v>
      </c>
      <c r="Q39" s="26">
        <f t="shared" si="23"/>
        <v>0</v>
      </c>
      <c r="R39" s="27" t="s">
        <v>61</v>
      </c>
      <c r="S39" s="252"/>
      <c r="T39" s="252"/>
      <c r="U39" s="252"/>
      <c r="V39" s="5"/>
      <c r="W39" s="5"/>
      <c r="X39" s="5"/>
      <c r="Y39" s="5"/>
      <c r="Z39" s="5"/>
      <c r="AA39" s="5"/>
      <c r="AB39" s="5"/>
      <c r="AC39" s="5"/>
    </row>
    <row r="40" spans="1:29" x14ac:dyDescent="0.25">
      <c r="B40" s="611" t="s">
        <v>147</v>
      </c>
      <c r="C40" s="612">
        <f>'Data input'!C98/100</f>
        <v>1</v>
      </c>
      <c r="D40" s="612">
        <f>'Data input'!D98/100</f>
        <v>0</v>
      </c>
      <c r="E40" s="612">
        <f>'Data input'!E98/100</f>
        <v>0</v>
      </c>
      <c r="F40" s="612">
        <f>'Data input'!F98/100</f>
        <v>0</v>
      </c>
      <c r="G40" s="612">
        <f>'Data input'!G98/100</f>
        <v>0</v>
      </c>
      <c r="H40" s="612"/>
      <c r="I40" s="613" t="s">
        <v>294</v>
      </c>
      <c r="K40" s="593">
        <f>INDEX(H28:H36,MATCH(C24,C28:C36,0))</f>
        <v>0.02</v>
      </c>
      <c r="L40" s="26" t="s">
        <v>109</v>
      </c>
      <c r="M40" s="26">
        <f t="shared" si="22"/>
        <v>4.0184291680406064E-4</v>
      </c>
      <c r="N40" s="26">
        <f t="shared" ref="N40:Q40" si="24">N8*$G$40*$C$21*$K$40*$C$22</f>
        <v>0</v>
      </c>
      <c r="O40" s="26">
        <f t="shared" si="24"/>
        <v>0</v>
      </c>
      <c r="P40" s="26">
        <f t="shared" si="24"/>
        <v>0</v>
      </c>
      <c r="Q40" s="26">
        <f t="shared" si="24"/>
        <v>0</v>
      </c>
      <c r="R40" s="27" t="s">
        <v>61</v>
      </c>
      <c r="S40" s="252"/>
      <c r="T40" s="252"/>
      <c r="U40" s="252"/>
    </row>
    <row r="41" spans="1:29" x14ac:dyDescent="0.25">
      <c r="K41" s="26"/>
      <c r="L41" s="26" t="s">
        <v>110</v>
      </c>
      <c r="M41" s="26">
        <f t="shared" si="22"/>
        <v>4.0184291680406064E-4</v>
      </c>
      <c r="N41" s="26">
        <f t="shared" ref="N41:Q41" si="25">N9*$G$40*$C$21*$K$40*$C$22</f>
        <v>0</v>
      </c>
      <c r="O41" s="26">
        <f t="shared" si="25"/>
        <v>0</v>
      </c>
      <c r="P41" s="26">
        <f t="shared" si="25"/>
        <v>0</v>
      </c>
      <c r="Q41" s="26">
        <f t="shared" si="25"/>
        <v>0</v>
      </c>
      <c r="R41" s="27" t="s">
        <v>61</v>
      </c>
      <c r="S41" s="252"/>
      <c r="T41" s="252"/>
      <c r="U41" s="252"/>
    </row>
    <row r="42" spans="1:29" x14ac:dyDescent="0.25">
      <c r="A42" s="5"/>
      <c r="B42" s="5"/>
      <c r="C42" s="5"/>
      <c r="D42" s="5"/>
      <c r="E42" s="5"/>
      <c r="F42" s="5"/>
      <c r="G42" s="5"/>
      <c r="H42" s="5"/>
      <c r="I42" s="5"/>
      <c r="J42" s="5"/>
      <c r="K42" s="26"/>
      <c r="L42" s="26"/>
      <c r="M42" s="26"/>
      <c r="N42" s="26"/>
      <c r="O42" s="26"/>
      <c r="P42" s="26"/>
      <c r="Q42" s="26"/>
      <c r="R42" s="26"/>
      <c r="S42" s="252"/>
      <c r="T42" s="252"/>
      <c r="U42" s="252"/>
    </row>
    <row r="43" spans="1:29" x14ac:dyDescent="0.25">
      <c r="A43" s="5"/>
      <c r="B43" s="5"/>
      <c r="C43" s="5"/>
      <c r="D43" s="5"/>
      <c r="E43" s="5"/>
      <c r="F43" s="5"/>
      <c r="G43" s="5"/>
      <c r="H43" s="5"/>
      <c r="I43" s="5"/>
      <c r="J43" s="5"/>
      <c r="K43" s="26" t="s">
        <v>159</v>
      </c>
      <c r="L43" s="26" t="s">
        <v>107</v>
      </c>
      <c r="M43" s="26">
        <f>SUM(M18,M23,M28,M33,M38)</f>
        <v>7.4289484113306783E-2</v>
      </c>
      <c r="N43" s="26">
        <f t="shared" ref="N43:Q43" si="26">SUM(N18,N23,N28,N33,N38)</f>
        <v>3.1617077543416579E-3</v>
      </c>
      <c r="O43" s="26">
        <f t="shared" si="26"/>
        <v>1.9045667160519375E-3</v>
      </c>
      <c r="P43" s="26">
        <f t="shared" si="26"/>
        <v>3.8394827843051512E-3</v>
      </c>
      <c r="Q43" s="26">
        <f t="shared" si="26"/>
        <v>2.3519550282192006E-3</v>
      </c>
      <c r="R43" s="27" t="s">
        <v>61</v>
      </c>
      <c r="S43" s="252"/>
      <c r="T43" s="252"/>
      <c r="U43" s="252"/>
    </row>
    <row r="44" spans="1:29" x14ac:dyDescent="0.25">
      <c r="A44" s="5"/>
      <c r="B44" s="5"/>
      <c r="C44" s="5"/>
      <c r="D44" s="5"/>
      <c r="E44" s="5"/>
      <c r="F44" s="5"/>
      <c r="G44" s="5"/>
      <c r="H44" s="5"/>
      <c r="I44" s="5"/>
      <c r="J44" s="5"/>
      <c r="K44" s="26"/>
      <c r="L44" s="26" t="s">
        <v>108</v>
      </c>
      <c r="M44" s="26">
        <f t="shared" ref="M44:Q44" si="27">SUM(M19,M24,M29,M34,M39)</f>
        <v>7.4289484113306783E-2</v>
      </c>
      <c r="N44" s="26">
        <f t="shared" si="27"/>
        <v>3.1617077543416579E-3</v>
      </c>
      <c r="O44" s="26">
        <f t="shared" si="27"/>
        <v>1.9045667160519375E-3</v>
      </c>
      <c r="P44" s="26">
        <f t="shared" si="27"/>
        <v>3.8394827843051512E-3</v>
      </c>
      <c r="Q44" s="26">
        <f t="shared" si="27"/>
        <v>2.3519550282192006E-3</v>
      </c>
      <c r="R44" s="27" t="s">
        <v>61</v>
      </c>
      <c r="S44" s="252"/>
      <c r="T44" s="252"/>
      <c r="U44" s="252"/>
    </row>
    <row r="45" spans="1:29" x14ac:dyDescent="0.25">
      <c r="A45" s="5"/>
      <c r="B45" s="5"/>
      <c r="C45" s="5"/>
      <c r="D45" s="5"/>
      <c r="E45" s="5"/>
      <c r="F45" s="5"/>
      <c r="G45" s="5"/>
      <c r="H45" s="5"/>
      <c r="I45" s="5"/>
      <c r="J45" s="5"/>
      <c r="K45" s="26"/>
      <c r="L45" s="26" t="s">
        <v>109</v>
      </c>
      <c r="M45" s="26">
        <f t="shared" ref="M45:Q45" si="28">SUM(M20,M25,M30,M35,M40)</f>
        <v>7.4289484113306783E-2</v>
      </c>
      <c r="N45" s="26">
        <f t="shared" si="28"/>
        <v>3.1617077543416579E-3</v>
      </c>
      <c r="O45" s="26">
        <f t="shared" si="28"/>
        <v>1.9045667160519375E-3</v>
      </c>
      <c r="P45" s="26">
        <f t="shared" si="28"/>
        <v>3.8394827843051512E-3</v>
      </c>
      <c r="Q45" s="26">
        <f t="shared" si="28"/>
        <v>2.3519550282192006E-3</v>
      </c>
      <c r="R45" s="27" t="s">
        <v>61</v>
      </c>
      <c r="S45" s="252"/>
      <c r="T45" s="252"/>
      <c r="U45" s="252"/>
    </row>
    <row r="46" spans="1:29" x14ac:dyDescent="0.25">
      <c r="A46" s="5"/>
      <c r="B46" s="5"/>
      <c r="C46" s="5"/>
      <c r="D46" s="5"/>
      <c r="E46" s="5"/>
      <c r="F46" s="5"/>
      <c r="G46" s="5"/>
      <c r="H46" s="5"/>
      <c r="I46" s="5"/>
      <c r="J46" s="5"/>
      <c r="K46" s="26"/>
      <c r="L46" s="26" t="s">
        <v>110</v>
      </c>
      <c r="M46" s="26">
        <f t="shared" ref="M46:Q46" si="29">SUM(M21,M26,M31,M36,M41)</f>
        <v>7.4289484113306783E-2</v>
      </c>
      <c r="N46" s="26">
        <f t="shared" si="29"/>
        <v>3.1617077543416579E-3</v>
      </c>
      <c r="O46" s="26">
        <f t="shared" si="29"/>
        <v>1.9045667160519375E-3</v>
      </c>
      <c r="P46" s="26">
        <f t="shared" si="29"/>
        <v>3.8394827843051512E-3</v>
      </c>
      <c r="Q46" s="26">
        <f t="shared" si="29"/>
        <v>2.3519550282192006E-3</v>
      </c>
      <c r="R46" s="27" t="s">
        <v>61</v>
      </c>
      <c r="S46" s="252"/>
      <c r="T46" s="252"/>
      <c r="U46" s="252"/>
    </row>
    <row r="47" spans="1:29" x14ac:dyDescent="0.25">
      <c r="A47" s="5"/>
      <c r="B47" s="5"/>
      <c r="C47" s="5"/>
      <c r="D47" s="5"/>
      <c r="E47" s="5"/>
      <c r="F47" s="5"/>
      <c r="G47" s="5"/>
      <c r="H47" s="5"/>
      <c r="I47" s="5"/>
      <c r="J47" s="5"/>
      <c r="K47" s="26"/>
      <c r="L47" s="26"/>
      <c r="M47" s="26"/>
      <c r="N47" s="26"/>
      <c r="O47" s="26"/>
      <c r="P47" s="26"/>
      <c r="Q47" s="26"/>
      <c r="R47" s="26"/>
      <c r="S47" s="252"/>
      <c r="T47" s="252"/>
      <c r="U47" s="252"/>
    </row>
    <row r="48" spans="1:29" x14ac:dyDescent="0.25">
      <c r="A48" s="5"/>
      <c r="B48" s="5"/>
      <c r="C48" s="5"/>
      <c r="D48" s="5"/>
      <c r="E48" s="5"/>
      <c r="F48" s="5"/>
      <c r="G48" s="5"/>
      <c r="H48" s="5"/>
      <c r="I48" s="5"/>
      <c r="J48" s="5"/>
      <c r="K48" s="74" t="s">
        <v>68</v>
      </c>
      <c r="L48" s="74"/>
      <c r="M48" s="74"/>
      <c r="N48" s="27"/>
      <c r="O48" s="27"/>
      <c r="P48" s="27"/>
      <c r="Q48" s="27"/>
      <c r="R48" s="27"/>
      <c r="S48" s="91"/>
      <c r="T48" s="90"/>
      <c r="U48" s="90"/>
    </row>
    <row r="49" spans="1:21" x14ac:dyDescent="0.25">
      <c r="A49" s="5"/>
      <c r="B49" s="5"/>
      <c r="C49" s="5"/>
      <c r="D49" s="5"/>
      <c r="E49" s="5"/>
      <c r="F49" s="5"/>
      <c r="G49" s="5"/>
      <c r="H49" s="5"/>
      <c r="I49" s="5"/>
      <c r="J49" s="5"/>
      <c r="K49" s="27"/>
      <c r="L49" s="74" t="s">
        <v>766</v>
      </c>
      <c r="M49" s="27"/>
      <c r="N49" s="27"/>
      <c r="O49" s="27"/>
      <c r="P49" s="27"/>
      <c r="Q49" s="27"/>
      <c r="R49" s="27"/>
      <c r="S49" s="90" t="s">
        <v>131</v>
      </c>
      <c r="T49" s="90" t="s">
        <v>765</v>
      </c>
      <c r="U49" s="90" t="s">
        <v>759</v>
      </c>
    </row>
    <row r="50" spans="1:21" x14ac:dyDescent="0.25">
      <c r="A50" s="5"/>
      <c r="B50" s="5"/>
      <c r="C50" s="5"/>
      <c r="D50" s="5"/>
      <c r="E50" s="5"/>
      <c r="F50" s="5"/>
      <c r="G50" s="5"/>
      <c r="H50" s="5"/>
      <c r="I50" s="5"/>
      <c r="J50" s="5"/>
      <c r="K50" s="27"/>
      <c r="L50" s="27"/>
      <c r="M50" s="27"/>
      <c r="N50" s="27"/>
      <c r="O50" s="27"/>
      <c r="P50" s="27"/>
      <c r="Q50" s="27"/>
      <c r="R50" s="27"/>
      <c r="S50" s="91"/>
      <c r="T50" s="90"/>
      <c r="U50" s="90"/>
    </row>
    <row r="51" spans="1:21" s="5" customFormat="1" x14ac:dyDescent="0.25">
      <c r="K51" s="27"/>
      <c r="L51" s="505" t="str">
        <f>'Enteric fermentation'!L28</f>
        <v>MPW</v>
      </c>
      <c r="M51" s="505">
        <f>'Enteric fermentation'!M28</f>
        <v>0</v>
      </c>
      <c r="N51" s="505">
        <f>'Enteric fermentation'!N28</f>
        <v>0</v>
      </c>
      <c r="O51" s="505">
        <f>'Enteric fermentation'!O28</f>
        <v>1.8249999999999999E-2</v>
      </c>
      <c r="P51" s="505">
        <f>'Enteric fermentation'!P28</f>
        <v>0</v>
      </c>
      <c r="Q51" s="505">
        <f>'Enteric fermentation'!Q28</f>
        <v>2.0809999999999999E-2</v>
      </c>
      <c r="R51" s="504"/>
      <c r="S51" s="91"/>
      <c r="T51" s="90"/>
      <c r="U51" s="90"/>
    </row>
    <row r="52" spans="1:21" s="5" customFormat="1" x14ac:dyDescent="0.25">
      <c r="A52" s="1"/>
      <c r="B52" s="1"/>
      <c r="C52" s="1"/>
      <c r="D52" s="1"/>
      <c r="E52" s="1"/>
      <c r="F52" s="1"/>
      <c r="G52" s="1"/>
      <c r="H52" s="1"/>
      <c r="I52" s="1"/>
      <c r="J52" s="1"/>
      <c r="K52" s="27"/>
      <c r="L52" s="74"/>
      <c r="M52" s="27"/>
      <c r="N52" s="27"/>
      <c r="O52" s="27"/>
      <c r="P52" s="27"/>
      <c r="Q52" s="27"/>
      <c r="R52" s="27"/>
      <c r="S52" s="91"/>
      <c r="T52" s="90"/>
      <c r="U52" s="90"/>
    </row>
    <row r="53" spans="1:21" s="5" customFormat="1" x14ac:dyDescent="0.25">
      <c r="A53" s="1"/>
      <c r="B53" s="1"/>
      <c r="C53" s="1"/>
      <c r="D53" s="1"/>
      <c r="E53" s="1"/>
      <c r="F53" s="1"/>
      <c r="G53" s="1"/>
      <c r="H53" s="1"/>
      <c r="I53" s="1"/>
      <c r="J53" s="1"/>
      <c r="K53" s="27"/>
      <c r="L53" s="75" t="s">
        <v>107</v>
      </c>
      <c r="M53" s="79">
        <f>(D5*M43*91.25)*10^-6</f>
        <v>2.0336746276017731E-3</v>
      </c>
      <c r="N53" s="79">
        <f>(E5*N43*91.25)*10^-6</f>
        <v>1.4425291629183813E-5</v>
      </c>
      <c r="O53" s="79">
        <f>((F5*O43*7.25)+(F5*$O$51*84))*10^-6</f>
        <v>7.7340405434568813E-5</v>
      </c>
      <c r="P53" s="79">
        <f>(G5*P43*91.25)*10^-6</f>
        <v>1.7517640203392251E-5</v>
      </c>
      <c r="Q53" s="79">
        <f>((H5*Q43*7.25)+(H5*$Q$51*84))*10^-6</f>
        <v>8.8254583697729459E-5</v>
      </c>
      <c r="R53" s="27" t="s">
        <v>127</v>
      </c>
      <c r="S53" s="91"/>
      <c r="T53" s="90"/>
      <c r="U53" s="90"/>
    </row>
    <row r="54" spans="1:21" s="5" customFormat="1" x14ac:dyDescent="0.25">
      <c r="A54" s="1"/>
      <c r="B54" s="1"/>
      <c r="C54" s="1"/>
      <c r="D54" s="1"/>
      <c r="E54" s="1"/>
      <c r="F54" s="1"/>
      <c r="G54" s="1"/>
      <c r="H54" s="1"/>
      <c r="I54" s="1"/>
      <c r="J54" s="1"/>
      <c r="K54" s="27"/>
      <c r="L54" s="75" t="s">
        <v>108</v>
      </c>
      <c r="M54" s="79">
        <f t="shared" ref="M54:M56" si="30">(D6*M44*91.25)*10^-6</f>
        <v>2.0336746276017731E-3</v>
      </c>
      <c r="N54" s="79">
        <f t="shared" ref="N54:N56" si="31">(E6*N44*91.25)*10^-6</f>
        <v>1.4425291629183813E-5</v>
      </c>
      <c r="O54" s="79">
        <f t="shared" ref="O54:O56" si="32">((F6*O44*7.25)+(F6*$O$51*84))*10^-6</f>
        <v>7.7340405434568813E-5</v>
      </c>
      <c r="P54" s="79">
        <f t="shared" ref="P54:P56" si="33">(G6*P44*91.25)*10^-6</f>
        <v>1.7517640203392251E-5</v>
      </c>
      <c r="Q54" s="79">
        <f t="shared" ref="Q54:Q56" si="34">((H6*Q44*7.25)+(H6*$Q$51*84))*10^-6</f>
        <v>8.8254583697729459E-5</v>
      </c>
      <c r="R54" s="27" t="s">
        <v>127</v>
      </c>
      <c r="S54" s="91"/>
      <c r="T54" s="90"/>
      <c r="U54" s="90"/>
    </row>
    <row r="55" spans="1:21" s="5" customFormat="1" x14ac:dyDescent="0.25">
      <c r="A55" s="1"/>
      <c r="B55" s="1"/>
      <c r="C55" s="1"/>
      <c r="D55" s="1"/>
      <c r="E55" s="1"/>
      <c r="F55" s="1"/>
      <c r="G55" s="1"/>
      <c r="H55" s="1"/>
      <c r="I55" s="1"/>
      <c r="J55" s="1"/>
      <c r="K55" s="27"/>
      <c r="L55" s="75" t="s">
        <v>109</v>
      </c>
      <c r="M55" s="79">
        <f t="shared" si="30"/>
        <v>2.0336746276017731E-3</v>
      </c>
      <c r="N55" s="79">
        <f t="shared" si="31"/>
        <v>1.4425291629183813E-5</v>
      </c>
      <c r="O55" s="79">
        <f t="shared" si="32"/>
        <v>7.7340405434568813E-5</v>
      </c>
      <c r="P55" s="79">
        <f t="shared" si="33"/>
        <v>1.7517640203392251E-5</v>
      </c>
      <c r="Q55" s="79">
        <f t="shared" si="34"/>
        <v>8.8254583697729459E-5</v>
      </c>
      <c r="R55" s="27" t="s">
        <v>127</v>
      </c>
      <c r="S55" s="91"/>
      <c r="T55" s="90"/>
      <c r="U55" s="90"/>
    </row>
    <row r="56" spans="1:21" s="5" customFormat="1" ht="18" customHeight="1" x14ac:dyDescent="0.25">
      <c r="A56" s="1"/>
      <c r="B56" s="1"/>
      <c r="C56" s="1"/>
      <c r="D56" s="1"/>
      <c r="E56" s="1"/>
      <c r="F56" s="1"/>
      <c r="G56" s="1"/>
      <c r="H56" s="1"/>
      <c r="I56" s="1"/>
      <c r="J56" s="1"/>
      <c r="K56" s="27"/>
      <c r="L56" s="75" t="s">
        <v>110</v>
      </c>
      <c r="M56" s="79">
        <f t="shared" si="30"/>
        <v>2.0336746276017731E-3</v>
      </c>
      <c r="N56" s="79">
        <f t="shared" si="31"/>
        <v>1.4425291629183813E-5</v>
      </c>
      <c r="O56" s="79">
        <f t="shared" si="32"/>
        <v>7.7340405434568813E-5</v>
      </c>
      <c r="P56" s="79">
        <f t="shared" si="33"/>
        <v>1.7517640203392251E-5</v>
      </c>
      <c r="Q56" s="79">
        <f t="shared" si="34"/>
        <v>8.8254583697729459E-5</v>
      </c>
      <c r="R56" s="27" t="s">
        <v>127</v>
      </c>
      <c r="S56" s="91"/>
      <c r="T56" s="90"/>
      <c r="U56" s="90"/>
    </row>
    <row r="57" spans="1:21" s="5" customFormat="1" x14ac:dyDescent="0.25">
      <c r="A57" s="1"/>
      <c r="B57" s="1"/>
      <c r="C57" s="1"/>
      <c r="D57" s="1"/>
      <c r="E57" s="1"/>
      <c r="F57" s="1"/>
      <c r="G57" s="1"/>
      <c r="H57" s="1"/>
      <c r="I57" s="1"/>
      <c r="J57" s="1"/>
      <c r="K57" s="27"/>
      <c r="L57" s="27"/>
      <c r="M57" s="27"/>
      <c r="N57" s="27"/>
      <c r="O57" s="27"/>
      <c r="P57" s="27"/>
      <c r="Q57" s="27"/>
      <c r="R57" s="26"/>
      <c r="S57" s="91"/>
      <c r="T57" s="90"/>
      <c r="U57" s="90"/>
    </row>
    <row r="58" spans="1:21" s="5" customFormat="1" x14ac:dyDescent="0.25">
      <c r="A58" s="1"/>
      <c r="B58" s="1"/>
      <c r="C58" s="1"/>
      <c r="D58" s="1"/>
      <c r="E58" s="1"/>
      <c r="F58" s="1"/>
      <c r="G58" s="1"/>
      <c r="H58" s="1"/>
      <c r="I58" s="1"/>
      <c r="J58" s="1"/>
      <c r="K58" s="74" t="s">
        <v>130</v>
      </c>
      <c r="L58" s="127">
        <f>SUM(M53:Q56)</f>
        <v>8.9248501942665887E-3</v>
      </c>
      <c r="M58" s="79"/>
      <c r="N58" s="79"/>
      <c r="O58" s="79"/>
      <c r="P58" s="79"/>
      <c r="Q58" s="79"/>
      <c r="R58" s="27" t="s">
        <v>69</v>
      </c>
      <c r="S58" s="92"/>
      <c r="T58" s="90"/>
      <c r="U58" s="90"/>
    </row>
    <row r="59" spans="1:21" s="5" customFormat="1" x14ac:dyDescent="0.25">
      <c r="A59" s="1"/>
      <c r="B59" s="1"/>
      <c r="C59" s="1"/>
      <c r="D59" s="1"/>
      <c r="E59" s="1"/>
      <c r="F59" s="1"/>
      <c r="G59" s="1"/>
      <c r="H59" s="1"/>
      <c r="I59" s="1"/>
      <c r="J59" s="1"/>
      <c r="K59" s="74" t="s">
        <v>130</v>
      </c>
      <c r="L59" s="138">
        <f>L58*GWP!C5</f>
        <v>0.22312125485666473</v>
      </c>
      <c r="M59" s="79"/>
      <c r="N59" s="79"/>
      <c r="O59" s="79"/>
      <c r="P59" s="79"/>
      <c r="Q59" s="79"/>
      <c r="R59" s="27" t="s">
        <v>70</v>
      </c>
      <c r="S59" s="92"/>
      <c r="T59" s="90"/>
      <c r="U59" s="90"/>
    </row>
    <row r="60" spans="1:21" s="5" customFormat="1" x14ac:dyDescent="0.25">
      <c r="A60" s="1"/>
      <c r="B60" s="1"/>
      <c r="C60" s="1"/>
      <c r="D60" s="1"/>
      <c r="E60" s="1"/>
      <c r="F60" s="1"/>
      <c r="G60" s="1"/>
      <c r="H60" s="1"/>
      <c r="I60" s="1"/>
      <c r="J60" s="1"/>
      <c r="K60" s="98" t="s">
        <v>480</v>
      </c>
      <c r="L60" s="582">
        <f>L59*10^3</f>
        <v>223.12125485666473</v>
      </c>
      <c r="M60" s="108"/>
      <c r="N60" s="108"/>
      <c r="O60" s="108"/>
      <c r="P60" s="108"/>
      <c r="Q60" s="108"/>
      <c r="R60" s="99" t="s">
        <v>119</v>
      </c>
      <c r="S60" s="100"/>
      <c r="T60" s="254"/>
      <c r="U60" s="254"/>
    </row>
    <row r="61" spans="1:21" x14ac:dyDescent="0.25">
      <c r="K61" s="5"/>
      <c r="L61" s="5"/>
      <c r="M61" s="5"/>
      <c r="N61" s="5"/>
      <c r="O61" s="5"/>
      <c r="P61" s="5"/>
      <c r="Q61" s="5"/>
      <c r="R61" s="5"/>
      <c r="S61" s="86"/>
      <c r="T61" s="5"/>
      <c r="U61" s="5"/>
    </row>
    <row r="62" spans="1:21" x14ac:dyDescent="0.25">
      <c r="K62" s="5"/>
      <c r="L62" s="5"/>
      <c r="M62" s="5"/>
      <c r="N62" s="5"/>
      <c r="O62" s="5"/>
      <c r="P62" s="5"/>
      <c r="Q62" s="5"/>
      <c r="R62" s="5"/>
      <c r="S62" s="86"/>
      <c r="T62" s="5"/>
      <c r="U62" s="5"/>
    </row>
    <row r="63" spans="1:21" x14ac:dyDescent="0.25">
      <c r="K63" s="5"/>
      <c r="L63" s="5"/>
      <c r="M63" s="5"/>
      <c r="N63" s="5"/>
      <c r="O63" s="5"/>
      <c r="P63" s="5"/>
      <c r="Q63" s="5"/>
      <c r="R63" s="5"/>
      <c r="S63" s="86"/>
      <c r="T63" s="5"/>
      <c r="U63" s="5"/>
    </row>
    <row r="64" spans="1:21" x14ac:dyDescent="0.25">
      <c r="K64" s="5"/>
      <c r="L64" s="5"/>
      <c r="M64" s="5"/>
      <c r="N64" s="5"/>
      <c r="O64" s="5"/>
      <c r="P64" s="5"/>
      <c r="Q64" s="5"/>
      <c r="R64" s="5"/>
      <c r="S64" s="86"/>
      <c r="T64" s="5"/>
      <c r="U64" s="5"/>
    </row>
    <row r="65" spans="11:21" x14ac:dyDescent="0.25">
      <c r="K65" s="5"/>
      <c r="L65" s="5"/>
      <c r="M65" s="5"/>
      <c r="N65" s="5"/>
      <c r="O65" s="5"/>
      <c r="P65" s="5"/>
      <c r="Q65" s="5"/>
      <c r="R65" s="5"/>
      <c r="S65" s="86"/>
      <c r="T65" s="5"/>
      <c r="U65" s="5"/>
    </row>
    <row r="66" spans="11:21" x14ac:dyDescent="0.25">
      <c r="K66" s="5"/>
      <c r="L66" s="5"/>
      <c r="M66" s="5"/>
      <c r="N66" s="5"/>
      <c r="O66" s="5"/>
      <c r="P66" s="5"/>
      <c r="Q66" s="5"/>
      <c r="R66" s="5"/>
      <c r="S66" s="86"/>
      <c r="T66" s="5"/>
      <c r="U66" s="5"/>
    </row>
    <row r="67" spans="11:21" x14ac:dyDescent="0.25">
      <c r="K67" s="5"/>
      <c r="L67" s="5"/>
      <c r="M67" s="5"/>
      <c r="N67" s="5"/>
      <c r="O67" s="5"/>
      <c r="P67" s="5"/>
      <c r="Q67" s="5"/>
      <c r="R67" s="5"/>
      <c r="S67" s="86"/>
      <c r="T67" s="5"/>
      <c r="U67" s="5"/>
    </row>
    <row r="68" spans="11:21" x14ac:dyDescent="0.25">
      <c r="K68" s="5"/>
      <c r="L68" s="5"/>
      <c r="M68" s="5"/>
      <c r="N68" s="5"/>
      <c r="O68" s="5"/>
      <c r="P68" s="5"/>
      <c r="Q68" s="5"/>
      <c r="R68" s="5"/>
      <c r="S68" s="86"/>
      <c r="T68" s="5"/>
      <c r="U68" s="5"/>
    </row>
    <row r="69" spans="11:21" x14ac:dyDescent="0.25">
      <c r="K69" s="5"/>
      <c r="L69" s="5"/>
      <c r="M69" s="5"/>
      <c r="N69" s="5"/>
      <c r="O69" s="5"/>
      <c r="P69" s="5"/>
      <c r="Q69" s="5"/>
      <c r="R69" s="5"/>
      <c r="S69" s="86"/>
      <c r="T69" s="5"/>
      <c r="U69" s="5"/>
    </row>
    <row r="70" spans="11:21" x14ac:dyDescent="0.25">
      <c r="K70" s="5"/>
      <c r="L70" s="5"/>
      <c r="M70" s="5"/>
      <c r="N70" s="5"/>
      <c r="O70" s="5"/>
      <c r="P70" s="5"/>
      <c r="Q70" s="5"/>
      <c r="R70" s="5"/>
      <c r="S70" s="86"/>
      <c r="T70" s="5"/>
      <c r="U70" s="5"/>
    </row>
  </sheetData>
  <sheetProtection sheet="1" objects="1" scenarios="1"/>
  <phoneticPr fontId="0" type="noConversion"/>
  <pageMargins left="0.75" right="0.75" top="1" bottom="1" header="0.5" footer="0.5"/>
  <pageSetup paperSize="9" orientation="portrait" horizontalDpi="300" verticalDpi="300"/>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U203"/>
  <sheetViews>
    <sheetView showGridLines="0" zoomScale="80" zoomScaleNormal="80" zoomScalePageLayoutView="80" workbookViewId="0"/>
  </sheetViews>
  <sheetFormatPr defaultColWidth="9.140625" defaultRowHeight="15.75" x14ac:dyDescent="0.25"/>
  <cols>
    <col min="1" max="1" width="3.140625" style="3" customWidth="1"/>
    <col min="2" max="2" width="41.85546875" style="3" customWidth="1"/>
    <col min="3" max="3" width="24.7109375" style="3" customWidth="1"/>
    <col min="4" max="5" width="20.28515625" style="3" customWidth="1"/>
    <col min="6" max="6" width="18.140625" style="3" customWidth="1"/>
    <col min="7" max="7" width="16" style="3" customWidth="1"/>
    <col min="8" max="8" width="17.140625" style="3" customWidth="1"/>
    <col min="9" max="9" width="22.42578125" style="3" customWidth="1"/>
    <col min="10" max="10" width="13.42578125" style="3" bestFit="1" customWidth="1"/>
    <col min="11" max="11" width="36.28515625" style="3" customWidth="1"/>
    <col min="12" max="13" width="15.28515625" style="3" customWidth="1"/>
    <col min="14" max="14" width="11.28515625" style="3" customWidth="1"/>
    <col min="15" max="15" width="13.28515625" style="3" customWidth="1"/>
    <col min="16" max="16" width="15.42578125" style="3" customWidth="1"/>
    <col min="17" max="17" width="16" style="3" customWidth="1"/>
    <col min="18" max="18" width="24.140625" style="3" customWidth="1"/>
    <col min="19" max="19" width="19.28515625" style="87" customWidth="1"/>
    <col min="20" max="21" width="31" style="87" customWidth="1"/>
    <col min="22" max="16384" width="9.140625" style="3"/>
  </cols>
  <sheetData>
    <row r="1" spans="1:21" ht="30.95" customHeight="1" x14ac:dyDescent="0.3">
      <c r="A1" s="15" t="s">
        <v>182</v>
      </c>
      <c r="B1" s="15"/>
      <c r="C1" s="15"/>
      <c r="D1" s="15"/>
    </row>
    <row r="2" spans="1:21" ht="14.25" customHeight="1" x14ac:dyDescent="0.25"/>
    <row r="3" spans="1:21" ht="16.7" customHeight="1" x14ac:dyDescent="0.25">
      <c r="B3" s="112" t="s">
        <v>7</v>
      </c>
      <c r="C3" s="112" t="s">
        <v>114</v>
      </c>
      <c r="D3" s="111" t="str">
        <f>'Data input'!D7</f>
        <v>Milking Cows</v>
      </c>
      <c r="E3" s="111" t="str">
        <f>'Data input'!E7</f>
        <v xml:space="preserve">Heifers &gt;1 </v>
      </c>
      <c r="F3" s="111" t="str">
        <f>'Data input'!F7</f>
        <v xml:space="preserve">Heifers &lt;1 </v>
      </c>
      <c r="G3" s="111" t="str">
        <f>'Data input'!G7</f>
        <v>Dairy Bulls&gt;1</v>
      </c>
      <c r="H3" s="111" t="str">
        <f>'Data input'!H7</f>
        <v>Dairy Bulls&lt;1</v>
      </c>
      <c r="I3" s="111" t="str">
        <f>'Data input'!I7</f>
        <v>Units</v>
      </c>
      <c r="K3" s="110" t="s">
        <v>120</v>
      </c>
      <c r="L3" s="110" t="s">
        <v>114</v>
      </c>
      <c r="M3" s="111" t="str">
        <f>'Data input'!D7</f>
        <v>Milking Cows</v>
      </c>
      <c r="N3" s="111" t="str">
        <f>'Data input'!E7</f>
        <v xml:space="preserve">Heifers &gt;1 </v>
      </c>
      <c r="O3" s="111" t="str">
        <f>'Data input'!F7</f>
        <v xml:space="preserve">Heifers &lt;1 </v>
      </c>
      <c r="P3" s="111" t="str">
        <f>'Data input'!G7</f>
        <v>Dairy Bulls&gt;1</v>
      </c>
      <c r="Q3" s="111" t="str">
        <f>'Data input'!H7</f>
        <v>Dairy Bulls&lt;1</v>
      </c>
      <c r="R3" s="111" t="str">
        <f>'Data input'!I7</f>
        <v>Units</v>
      </c>
      <c r="S3" s="113" t="s">
        <v>199</v>
      </c>
      <c r="T3" s="267" t="s">
        <v>248</v>
      </c>
      <c r="U3" s="267" t="s">
        <v>758</v>
      </c>
    </row>
    <row r="4" spans="1:21" ht="16.7" customHeight="1" x14ac:dyDescent="0.25">
      <c r="B4" s="32"/>
      <c r="C4" s="32"/>
      <c r="D4" s="32"/>
      <c r="E4" s="32"/>
      <c r="F4" s="32"/>
      <c r="G4" s="32"/>
      <c r="H4" s="32"/>
      <c r="I4" s="32"/>
      <c r="K4" s="20"/>
      <c r="L4" s="20"/>
      <c r="M4" s="20"/>
      <c r="N4" s="20"/>
      <c r="O4" s="20"/>
      <c r="P4" s="20"/>
      <c r="Q4" s="20"/>
      <c r="R4" s="20"/>
      <c r="S4" s="114"/>
      <c r="T4" s="267"/>
      <c r="U4" s="267"/>
    </row>
    <row r="5" spans="1:21" ht="16.7" customHeight="1" x14ac:dyDescent="0.3">
      <c r="A5" s="15"/>
      <c r="B5" s="40" t="s">
        <v>58</v>
      </c>
      <c r="C5" s="133" t="s">
        <v>107</v>
      </c>
      <c r="D5" s="36">
        <f>'Enteric fermentation'!M6</f>
        <v>18.802184438607195</v>
      </c>
      <c r="E5" s="36">
        <f>'Enteric fermentation'!N6</f>
        <v>7.2784485796</v>
      </c>
      <c r="F5" s="36">
        <f>'Enteric fermentation'!O6</f>
        <v>4.3844314485315596</v>
      </c>
      <c r="G5" s="36">
        <f>'Enteric fermentation'!P6</f>
        <v>8.8387289999999989</v>
      </c>
      <c r="H5" s="36">
        <f>'Enteric fermentation'!Q6</f>
        <v>5.4143472656250013</v>
      </c>
      <c r="I5" s="32" t="s">
        <v>121</v>
      </c>
      <c r="K5" s="424" t="s">
        <v>481</v>
      </c>
      <c r="L5" s="20"/>
      <c r="M5" s="20"/>
      <c r="N5" s="20"/>
      <c r="O5" s="20"/>
      <c r="P5" s="20"/>
      <c r="Q5" s="20"/>
      <c r="R5" s="20"/>
      <c r="S5" s="114"/>
      <c r="T5" s="270"/>
      <c r="U5" s="270"/>
    </row>
    <row r="6" spans="1:21" ht="16.7" customHeight="1" x14ac:dyDescent="0.3">
      <c r="A6" s="15"/>
      <c r="B6" s="32"/>
      <c r="C6" s="133" t="s">
        <v>108</v>
      </c>
      <c r="D6" s="36">
        <f>'Enteric fermentation'!M7</f>
        <v>18.802184438607195</v>
      </c>
      <c r="E6" s="36">
        <f>'Enteric fermentation'!N7</f>
        <v>7.2784485796</v>
      </c>
      <c r="F6" s="36">
        <f>'Enteric fermentation'!O7</f>
        <v>4.3844314485315596</v>
      </c>
      <c r="G6" s="36">
        <f>'Enteric fermentation'!P7</f>
        <v>8.8387289999999989</v>
      </c>
      <c r="H6" s="36">
        <f>'Enteric fermentation'!Q7</f>
        <v>5.4143472656250013</v>
      </c>
      <c r="I6" s="32" t="s">
        <v>121</v>
      </c>
      <c r="K6" s="20"/>
      <c r="L6" s="20"/>
      <c r="M6" s="20"/>
      <c r="N6" s="20"/>
      <c r="O6" s="20"/>
      <c r="P6" s="20"/>
      <c r="Q6" s="20"/>
      <c r="R6" s="20"/>
      <c r="S6" s="114"/>
      <c r="T6" s="270"/>
      <c r="U6" s="270"/>
    </row>
    <row r="7" spans="1:21" ht="16.7" customHeight="1" x14ac:dyDescent="0.3">
      <c r="A7" s="15"/>
      <c r="B7" s="32"/>
      <c r="C7" s="133" t="s">
        <v>109</v>
      </c>
      <c r="D7" s="36">
        <f>'Enteric fermentation'!M8</f>
        <v>18.802184438607195</v>
      </c>
      <c r="E7" s="36">
        <f>'Enteric fermentation'!N8</f>
        <v>7.2784485796</v>
      </c>
      <c r="F7" s="36">
        <f>'Enteric fermentation'!O8</f>
        <v>4.3844314485315596</v>
      </c>
      <c r="G7" s="36">
        <f>'Enteric fermentation'!P8</f>
        <v>8.8387289999999989</v>
      </c>
      <c r="H7" s="36">
        <f>'Enteric fermentation'!Q8</f>
        <v>5.4143472656250013</v>
      </c>
      <c r="I7" s="32" t="s">
        <v>121</v>
      </c>
      <c r="K7" s="21" t="s">
        <v>73</v>
      </c>
      <c r="L7" s="21" t="s">
        <v>71</v>
      </c>
      <c r="M7" s="21"/>
      <c r="N7" s="17"/>
      <c r="O7" s="17"/>
      <c r="P7" s="18"/>
      <c r="Q7" s="20"/>
      <c r="R7" s="20"/>
      <c r="S7" s="114" t="s">
        <v>132</v>
      </c>
      <c r="T7" s="114" t="s">
        <v>254</v>
      </c>
      <c r="U7" s="114" t="s">
        <v>759</v>
      </c>
    </row>
    <row r="8" spans="1:21" ht="16.7" customHeight="1" x14ac:dyDescent="0.3">
      <c r="A8" s="15"/>
      <c r="B8" s="32"/>
      <c r="C8" s="133" t="s">
        <v>110</v>
      </c>
      <c r="D8" s="36">
        <f>'Enteric fermentation'!M9</f>
        <v>18.802184438607195</v>
      </c>
      <c r="E8" s="36">
        <f>'Enteric fermentation'!N9</f>
        <v>7.2784485796</v>
      </c>
      <c r="F8" s="36">
        <f>'Enteric fermentation'!O9</f>
        <v>4.3844314485315596</v>
      </c>
      <c r="G8" s="36">
        <f>'Enteric fermentation'!P9</f>
        <v>8.8387289999999989</v>
      </c>
      <c r="H8" s="36">
        <f>'Enteric fermentation'!Q9</f>
        <v>5.4143472656250013</v>
      </c>
      <c r="I8" s="32" t="s">
        <v>121</v>
      </c>
      <c r="K8" s="20"/>
      <c r="L8" s="80" t="s">
        <v>107</v>
      </c>
      <c r="M8" s="507">
        <f t="shared" ref="M8:Q11" si="0">D5*(D10/100)</f>
        <v>3.7604368877214394</v>
      </c>
      <c r="N8" s="507">
        <f t="shared" si="0"/>
        <v>1.4556897159200002</v>
      </c>
      <c r="O8" s="507">
        <f t="shared" si="0"/>
        <v>0.87688628970631199</v>
      </c>
      <c r="P8" s="507">
        <f t="shared" si="0"/>
        <v>1.7677457999999999</v>
      </c>
      <c r="Q8" s="507">
        <f t="shared" si="0"/>
        <v>1.0828694531250003</v>
      </c>
      <c r="R8" s="80" t="s">
        <v>17</v>
      </c>
      <c r="S8" s="114"/>
      <c r="T8" s="114"/>
      <c r="U8" s="114"/>
    </row>
    <row r="9" spans="1:21" ht="16.7" customHeight="1" x14ac:dyDescent="0.3">
      <c r="A9" s="15"/>
      <c r="B9" s="32"/>
      <c r="C9" s="32"/>
      <c r="D9" s="32"/>
      <c r="E9" s="32"/>
      <c r="F9" s="32"/>
      <c r="G9" s="32"/>
      <c r="H9" s="32"/>
      <c r="I9" s="32"/>
      <c r="K9" s="22"/>
      <c r="L9" s="80" t="s">
        <v>108</v>
      </c>
      <c r="M9" s="507">
        <f t="shared" si="0"/>
        <v>3.7604368877214394</v>
      </c>
      <c r="N9" s="507">
        <f t="shared" si="0"/>
        <v>1.4556897159200002</v>
      </c>
      <c r="O9" s="507">
        <f t="shared" si="0"/>
        <v>0.87688628970631199</v>
      </c>
      <c r="P9" s="507">
        <f t="shared" si="0"/>
        <v>1.7677457999999999</v>
      </c>
      <c r="Q9" s="507">
        <f t="shared" si="0"/>
        <v>1.0828694531250003</v>
      </c>
      <c r="R9" s="80" t="s">
        <v>17</v>
      </c>
      <c r="S9" s="114"/>
      <c r="T9" s="114"/>
      <c r="U9" s="114"/>
    </row>
    <row r="10" spans="1:21" ht="16.7" customHeight="1" x14ac:dyDescent="0.3">
      <c r="A10" s="15"/>
      <c r="B10" s="16" t="s">
        <v>72</v>
      </c>
      <c r="C10" s="133" t="s">
        <v>107</v>
      </c>
      <c r="D10" s="32">
        <f>'Data input'!D27</f>
        <v>20</v>
      </c>
      <c r="E10" s="32">
        <f>'Data input'!E27</f>
        <v>20</v>
      </c>
      <c r="F10" s="32">
        <f>'Data input'!F27</f>
        <v>20</v>
      </c>
      <c r="G10" s="32">
        <f>'Data input'!G27</f>
        <v>20</v>
      </c>
      <c r="H10" s="32">
        <f>'Data input'!H27</f>
        <v>20</v>
      </c>
      <c r="I10" s="32" t="str">
        <f>'Data input'!I27</f>
        <v>%</v>
      </c>
      <c r="K10" s="19"/>
      <c r="L10" s="80" t="s">
        <v>109</v>
      </c>
      <c r="M10" s="507">
        <f t="shared" si="0"/>
        <v>3.7604368877214394</v>
      </c>
      <c r="N10" s="507">
        <f t="shared" si="0"/>
        <v>1.4556897159200002</v>
      </c>
      <c r="O10" s="507">
        <f t="shared" si="0"/>
        <v>0.87688628970631199</v>
      </c>
      <c r="P10" s="507">
        <f t="shared" si="0"/>
        <v>1.7677457999999999</v>
      </c>
      <c r="Q10" s="507">
        <f t="shared" si="0"/>
        <v>1.0828694531250003</v>
      </c>
      <c r="R10" s="80" t="s">
        <v>17</v>
      </c>
      <c r="S10" s="114"/>
      <c r="T10" s="114"/>
      <c r="U10" s="114"/>
    </row>
    <row r="11" spans="1:21" ht="16.7" customHeight="1" x14ac:dyDescent="0.3">
      <c r="A11" s="15"/>
      <c r="B11" s="32"/>
      <c r="C11" s="133" t="s">
        <v>108</v>
      </c>
      <c r="D11" s="32">
        <f>'Data input'!D28</f>
        <v>20</v>
      </c>
      <c r="E11" s="32">
        <f>'Data input'!E28</f>
        <v>20</v>
      </c>
      <c r="F11" s="32">
        <f>'Data input'!F28</f>
        <v>20</v>
      </c>
      <c r="G11" s="32">
        <f>'Data input'!G28</f>
        <v>20</v>
      </c>
      <c r="H11" s="32">
        <f>'Data input'!H28</f>
        <v>20</v>
      </c>
      <c r="I11" s="32" t="str">
        <f>'Data input'!I28</f>
        <v>%</v>
      </c>
      <c r="K11" s="20"/>
      <c r="L11" s="80" t="s">
        <v>110</v>
      </c>
      <c r="M11" s="507">
        <f t="shared" si="0"/>
        <v>3.7604368877214394</v>
      </c>
      <c r="N11" s="507">
        <f t="shared" si="0"/>
        <v>1.4556897159200002</v>
      </c>
      <c r="O11" s="507">
        <f t="shared" si="0"/>
        <v>0.87688628970631199</v>
      </c>
      <c r="P11" s="507">
        <f t="shared" si="0"/>
        <v>1.7677457999999999</v>
      </c>
      <c r="Q11" s="507">
        <f t="shared" si="0"/>
        <v>1.0828694531250003</v>
      </c>
      <c r="R11" s="80" t="s">
        <v>17</v>
      </c>
      <c r="S11" s="114"/>
      <c r="T11" s="114"/>
      <c r="U11" s="114"/>
    </row>
    <row r="12" spans="1:21" ht="16.7" customHeight="1" x14ac:dyDescent="0.3">
      <c r="A12" s="15"/>
      <c r="B12" s="32"/>
      <c r="C12" s="133" t="s">
        <v>109</v>
      </c>
      <c r="D12" s="32">
        <f>'Data input'!D29</f>
        <v>20</v>
      </c>
      <c r="E12" s="32">
        <f>'Data input'!E29</f>
        <v>20</v>
      </c>
      <c r="F12" s="32">
        <f>'Data input'!F29</f>
        <v>20</v>
      </c>
      <c r="G12" s="32">
        <f>'Data input'!G29</f>
        <v>20</v>
      </c>
      <c r="H12" s="32">
        <f>'Data input'!H29</f>
        <v>20</v>
      </c>
      <c r="I12" s="32" t="str">
        <f>'Data input'!I29</f>
        <v>%</v>
      </c>
      <c r="K12" s="23"/>
      <c r="L12" s="23"/>
      <c r="M12" s="23"/>
      <c r="N12" s="23"/>
      <c r="O12" s="23"/>
      <c r="P12" s="29"/>
      <c r="Q12" s="20"/>
      <c r="R12" s="20"/>
      <c r="S12" s="114"/>
      <c r="T12" s="114"/>
      <c r="U12" s="114"/>
    </row>
    <row r="13" spans="1:21" ht="16.7" customHeight="1" x14ac:dyDescent="0.3">
      <c r="A13" s="15"/>
      <c r="B13" s="32"/>
      <c r="C13" s="133" t="s">
        <v>110</v>
      </c>
      <c r="D13" s="32">
        <f>'Data input'!D30</f>
        <v>20</v>
      </c>
      <c r="E13" s="32">
        <f>'Data input'!E30</f>
        <v>20</v>
      </c>
      <c r="F13" s="32">
        <f>'Data input'!F30</f>
        <v>20</v>
      </c>
      <c r="G13" s="32">
        <f>'Data input'!G30</f>
        <v>20</v>
      </c>
      <c r="H13" s="32">
        <f>'Data input'!H30</f>
        <v>20</v>
      </c>
      <c r="I13" s="32" t="str">
        <f>'Data input'!I30</f>
        <v>%</v>
      </c>
      <c r="K13" s="268" t="s">
        <v>249</v>
      </c>
      <c r="L13" s="269" t="s">
        <v>250</v>
      </c>
      <c r="M13" s="269"/>
      <c r="N13" s="23"/>
      <c r="O13" s="23"/>
      <c r="P13" s="29"/>
      <c r="Q13" s="20"/>
      <c r="R13" s="20"/>
      <c r="S13" s="270" t="s">
        <v>251</v>
      </c>
      <c r="T13" s="114" t="s">
        <v>767</v>
      </c>
      <c r="U13" s="114" t="s">
        <v>252</v>
      </c>
    </row>
    <row r="14" spans="1:21" ht="16.7" customHeight="1" x14ac:dyDescent="0.3">
      <c r="A14" s="15"/>
      <c r="B14" s="32"/>
      <c r="C14" s="32"/>
      <c r="D14" s="32"/>
      <c r="E14" s="32"/>
      <c r="F14" s="32"/>
      <c r="G14" s="32"/>
      <c r="H14" s="32"/>
      <c r="I14" s="32"/>
      <c r="K14" s="23"/>
      <c r="L14" s="23" t="s">
        <v>107</v>
      </c>
      <c r="M14" s="506">
        <f t="shared" ref="M14:M17" si="1">D5/(1.185+(0.00454*D30)-(0.0000026*(D30)^2)+((0.315*0)))^2</f>
        <v>2.2426482931546485</v>
      </c>
      <c r="N14" s="506">
        <f t="shared" ref="N14:N17" si="2">E5/(1.185+(0.00454*E30)-(0.0000026*(E30)^2)+((0.315*0)))^2</f>
        <v>1.1563411034246729</v>
      </c>
      <c r="O14" s="506">
        <f t="shared" ref="O14:O17" si="3">F5/(1.185+(0.00454*F30)-(0.0000026*(F30)^2)+((0.315*0)))^2</f>
        <v>1.1963797575781601</v>
      </c>
      <c r="P14" s="506">
        <f t="shared" ref="P14:P17" si="4">G5/(1.185+(0.00454*G30)-(0.0000026*(G30)^2)+((0.315*0)))^2</f>
        <v>1</v>
      </c>
      <c r="Q14" s="506">
        <f t="shared" ref="Q14:Q17" si="5">H5/(1.185+(0.00454*H30)-(0.0000026*(H30)^2)+((0.315*0)))^2</f>
        <v>1.2576570545672616</v>
      </c>
      <c r="R14" s="80" t="s">
        <v>121</v>
      </c>
      <c r="S14" s="270"/>
      <c r="T14" s="271"/>
      <c r="U14" s="271"/>
    </row>
    <row r="15" spans="1:21" x14ac:dyDescent="0.25">
      <c r="B15" s="16" t="s">
        <v>54</v>
      </c>
      <c r="C15" s="133" t="s">
        <v>107</v>
      </c>
      <c r="D15" s="32">
        <f>'Data input'!D33</f>
        <v>75</v>
      </c>
      <c r="E15" s="32">
        <f>'Data input'!E33</f>
        <v>75</v>
      </c>
      <c r="F15" s="32">
        <f>'Data input'!F33</f>
        <v>75</v>
      </c>
      <c r="G15" s="32">
        <f>'Data input'!G33</f>
        <v>75</v>
      </c>
      <c r="H15" s="32">
        <f>'Data input'!H33</f>
        <v>75</v>
      </c>
      <c r="I15" s="32" t="str">
        <f>'Data input'!I33</f>
        <v>%</v>
      </c>
      <c r="K15" s="23"/>
      <c r="L15" s="23" t="s">
        <v>108</v>
      </c>
      <c r="M15" s="506">
        <f t="shared" si="1"/>
        <v>2.2426482931546485</v>
      </c>
      <c r="N15" s="506">
        <f t="shared" si="2"/>
        <v>1.1563411034246729</v>
      </c>
      <c r="O15" s="506">
        <f t="shared" si="3"/>
        <v>1.1963797575781601</v>
      </c>
      <c r="P15" s="506">
        <f t="shared" si="4"/>
        <v>1</v>
      </c>
      <c r="Q15" s="506">
        <f t="shared" si="5"/>
        <v>1.2576570545672616</v>
      </c>
      <c r="R15" s="80" t="s">
        <v>121</v>
      </c>
      <c r="S15" s="270"/>
      <c r="T15" s="271"/>
      <c r="U15" s="271"/>
    </row>
    <row r="16" spans="1:21" x14ac:dyDescent="0.25">
      <c r="B16" s="32"/>
      <c r="C16" s="133" t="s">
        <v>108</v>
      </c>
      <c r="D16" s="32">
        <f>'Data input'!D34</f>
        <v>75</v>
      </c>
      <c r="E16" s="32">
        <f>'Data input'!E34</f>
        <v>75</v>
      </c>
      <c r="F16" s="32">
        <f>'Data input'!F34</f>
        <v>75</v>
      </c>
      <c r="G16" s="32">
        <f>'Data input'!G34</f>
        <v>75</v>
      </c>
      <c r="H16" s="32">
        <f>'Data input'!H34</f>
        <v>75</v>
      </c>
      <c r="I16" s="32" t="str">
        <f>'Data input'!I34</f>
        <v>%</v>
      </c>
      <c r="K16" s="23"/>
      <c r="L16" s="23" t="s">
        <v>109</v>
      </c>
      <c r="M16" s="506">
        <f t="shared" si="1"/>
        <v>2.2426482931546485</v>
      </c>
      <c r="N16" s="506">
        <f t="shared" si="2"/>
        <v>1.1563411034246729</v>
      </c>
      <c r="O16" s="506">
        <f t="shared" si="3"/>
        <v>1.1963797575781601</v>
      </c>
      <c r="P16" s="506">
        <f t="shared" si="4"/>
        <v>1</v>
      </c>
      <c r="Q16" s="506">
        <f t="shared" si="5"/>
        <v>1.2576570545672616</v>
      </c>
      <c r="R16" s="80" t="s">
        <v>121</v>
      </c>
      <c r="S16" s="270"/>
      <c r="T16" s="271"/>
      <c r="U16" s="271"/>
    </row>
    <row r="17" spans="2:21" x14ac:dyDescent="0.25">
      <c r="B17" s="32"/>
      <c r="C17" s="133" t="s">
        <v>109</v>
      </c>
      <c r="D17" s="32">
        <f>'Data input'!D35</f>
        <v>75</v>
      </c>
      <c r="E17" s="32">
        <f>'Data input'!E35</f>
        <v>75</v>
      </c>
      <c r="F17" s="32">
        <f>'Data input'!F35</f>
        <v>75</v>
      </c>
      <c r="G17" s="32">
        <f>'Data input'!G35</f>
        <v>75</v>
      </c>
      <c r="H17" s="32">
        <f>'Data input'!H35</f>
        <v>75</v>
      </c>
      <c r="I17" s="32" t="str">
        <f>'Data input'!I35</f>
        <v>%</v>
      </c>
      <c r="K17" s="23"/>
      <c r="L17" s="23" t="s">
        <v>110</v>
      </c>
      <c r="M17" s="506">
        <f t="shared" si="1"/>
        <v>2.2426482931546485</v>
      </c>
      <c r="N17" s="506">
        <f t="shared" si="2"/>
        <v>1.1563411034246729</v>
      </c>
      <c r="O17" s="506">
        <f t="shared" si="3"/>
        <v>1.1963797575781601</v>
      </c>
      <c r="P17" s="506">
        <f t="shared" si="4"/>
        <v>1</v>
      </c>
      <c r="Q17" s="506">
        <f t="shared" si="5"/>
        <v>1.2576570545672616</v>
      </c>
      <c r="R17" s="80" t="s">
        <v>121</v>
      </c>
      <c r="S17" s="270"/>
      <c r="T17" s="271"/>
      <c r="U17" s="271"/>
    </row>
    <row r="18" spans="2:21" x14ac:dyDescent="0.25">
      <c r="B18" s="32"/>
      <c r="C18" s="133" t="s">
        <v>110</v>
      </c>
      <c r="D18" s="32">
        <f>'Data input'!D36</f>
        <v>75</v>
      </c>
      <c r="E18" s="32">
        <f>'Data input'!E36</f>
        <v>75</v>
      </c>
      <c r="F18" s="32">
        <f>'Data input'!F36</f>
        <v>75</v>
      </c>
      <c r="G18" s="32">
        <f>'Data input'!G36</f>
        <v>75</v>
      </c>
      <c r="H18" s="32">
        <f>'Data input'!H36</f>
        <v>75</v>
      </c>
      <c r="I18" s="32" t="str">
        <f>'Data input'!I36</f>
        <v>%</v>
      </c>
      <c r="K18" s="23"/>
      <c r="L18" s="23"/>
      <c r="M18" s="23"/>
      <c r="N18" s="23"/>
      <c r="O18" s="23"/>
      <c r="P18" s="29"/>
      <c r="Q18" s="20"/>
      <c r="R18" s="20"/>
      <c r="S18" s="114"/>
      <c r="T18" s="271"/>
      <c r="U18" s="271"/>
    </row>
    <row r="19" spans="2:21" ht="17.25" x14ac:dyDescent="0.3">
      <c r="B19" s="32"/>
      <c r="C19" s="32"/>
      <c r="D19" s="17"/>
      <c r="E19" s="17"/>
      <c r="F19" s="17"/>
      <c r="G19" s="17"/>
      <c r="H19" s="17"/>
      <c r="I19" s="18"/>
      <c r="K19" s="21" t="s">
        <v>76</v>
      </c>
      <c r="L19" s="34" t="s">
        <v>817</v>
      </c>
      <c r="M19" s="34"/>
      <c r="N19" s="31"/>
      <c r="O19" s="31"/>
      <c r="P19" s="31"/>
      <c r="Q19" s="31"/>
      <c r="R19" s="20"/>
      <c r="S19" s="114" t="s">
        <v>134</v>
      </c>
      <c r="T19" s="114" t="s">
        <v>253</v>
      </c>
      <c r="U19" s="114" t="s">
        <v>759</v>
      </c>
    </row>
    <row r="20" spans="2:21" x14ac:dyDescent="0.25">
      <c r="B20" s="16" t="s">
        <v>11</v>
      </c>
      <c r="C20" s="133" t="s">
        <v>107</v>
      </c>
      <c r="D20" s="115">
        <f t="shared" ref="D20:H23" si="6">0.1604*D15-1.037</f>
        <v>10.992999999999999</v>
      </c>
      <c r="E20" s="115">
        <f t="shared" si="6"/>
        <v>10.992999999999999</v>
      </c>
      <c r="F20" s="115">
        <f t="shared" si="6"/>
        <v>10.992999999999999</v>
      </c>
      <c r="G20" s="115">
        <f t="shared" si="6"/>
        <v>10.992999999999999</v>
      </c>
      <c r="H20" s="115">
        <f t="shared" si="6"/>
        <v>10.992999999999999</v>
      </c>
      <c r="I20" s="222" t="s">
        <v>55</v>
      </c>
      <c r="K20" s="21"/>
      <c r="L20" s="34" t="s">
        <v>259</v>
      </c>
      <c r="M20" s="34">
        <v>1.03</v>
      </c>
      <c r="N20" s="31"/>
      <c r="O20" s="31"/>
      <c r="P20" s="31"/>
      <c r="Q20" s="31"/>
      <c r="R20" s="20" t="s">
        <v>260</v>
      </c>
      <c r="S20" s="114"/>
      <c r="T20" s="114"/>
      <c r="U20" s="114"/>
    </row>
    <row r="21" spans="2:21" x14ac:dyDescent="0.25">
      <c r="B21" s="32"/>
      <c r="C21" s="133" t="s">
        <v>108</v>
      </c>
      <c r="D21" s="115">
        <f t="shared" si="6"/>
        <v>10.992999999999999</v>
      </c>
      <c r="E21" s="115">
        <f t="shared" si="6"/>
        <v>10.992999999999999</v>
      </c>
      <c r="F21" s="115">
        <f t="shared" si="6"/>
        <v>10.992999999999999</v>
      </c>
      <c r="G21" s="115">
        <f t="shared" si="6"/>
        <v>10.992999999999999</v>
      </c>
      <c r="H21" s="115">
        <f t="shared" si="6"/>
        <v>10.992999999999999</v>
      </c>
      <c r="I21" s="222" t="s">
        <v>55</v>
      </c>
      <c r="K21" s="23"/>
      <c r="L21" s="23"/>
      <c r="M21" s="23"/>
      <c r="N21" s="23"/>
      <c r="O21" s="23"/>
      <c r="P21" s="29"/>
      <c r="Q21" s="20"/>
      <c r="R21" s="20"/>
      <c r="S21" s="114"/>
      <c r="T21" s="114"/>
      <c r="U21" s="114"/>
    </row>
    <row r="22" spans="2:21" x14ac:dyDescent="0.25">
      <c r="B22" s="32"/>
      <c r="C22" s="133" t="s">
        <v>109</v>
      </c>
      <c r="D22" s="115">
        <f t="shared" si="6"/>
        <v>10.992999999999999</v>
      </c>
      <c r="E22" s="115">
        <f t="shared" si="6"/>
        <v>10.992999999999999</v>
      </c>
      <c r="F22" s="115">
        <f t="shared" si="6"/>
        <v>10.992999999999999</v>
      </c>
      <c r="G22" s="115">
        <f t="shared" si="6"/>
        <v>10.992999999999999</v>
      </c>
      <c r="H22" s="115">
        <f t="shared" si="6"/>
        <v>10.992999999999999</v>
      </c>
      <c r="I22" s="222" t="s">
        <v>55</v>
      </c>
      <c r="J22" s="4"/>
      <c r="K22" s="23"/>
      <c r="L22" s="80" t="s">
        <v>107</v>
      </c>
      <c r="M22" s="312">
        <f>((0.032*(D25*$M$20)/6.38)+((0.212-0.008*(M14-2)-((0.14-0.008*(M14-2))/(1+EXP(-6*(D45-0.4)))))*(D35*0.92))/6.25)</f>
        <v>0.10332288401253918</v>
      </c>
      <c r="N22" s="312">
        <f t="shared" ref="N22:Q25" si="7">((0.032*(E25*$M$20)/6.38)+((0.212-0.008*(N14-2)-((0.14-0.008*(N14-2))/(1+EXP(-6*(E45-0.4)))))*(E35*0.92))/6.25)</f>
        <v>9.0004693208802639E-3</v>
      </c>
      <c r="O22" s="312">
        <f t="shared" si="7"/>
        <v>1.3916268174785591E-2</v>
      </c>
      <c r="P22" s="312">
        <f t="shared" si="7"/>
        <v>0</v>
      </c>
      <c r="Q22" s="312">
        <f t="shared" si="7"/>
        <v>1.9757354894894087E-2</v>
      </c>
      <c r="R22" s="35" t="s">
        <v>81</v>
      </c>
      <c r="S22" s="114"/>
      <c r="T22" s="114"/>
      <c r="U22" s="114"/>
    </row>
    <row r="23" spans="2:21" x14ac:dyDescent="0.25">
      <c r="B23" s="32"/>
      <c r="C23" s="133" t="s">
        <v>110</v>
      </c>
      <c r="D23" s="115">
        <f t="shared" si="6"/>
        <v>10.992999999999999</v>
      </c>
      <c r="E23" s="115">
        <f t="shared" si="6"/>
        <v>10.992999999999999</v>
      </c>
      <c r="F23" s="115">
        <f t="shared" si="6"/>
        <v>10.992999999999999</v>
      </c>
      <c r="G23" s="115">
        <f t="shared" si="6"/>
        <v>10.992999999999999</v>
      </c>
      <c r="H23" s="115">
        <f t="shared" si="6"/>
        <v>10.992999999999999</v>
      </c>
      <c r="I23" s="222" t="s">
        <v>55</v>
      </c>
      <c r="K23" s="23"/>
      <c r="L23" s="80" t="s">
        <v>108</v>
      </c>
      <c r="M23" s="312">
        <f t="shared" ref="M23:M25" si="8">((0.032*(D26*$M$20)/6.38)+((0.212-0.008*(M15-2)-((0.14-0.008*(M15-2))/(1+EXP(-6*(D46-0.4)))))*(D36*0.92))/6.25)</f>
        <v>0.10332288401253918</v>
      </c>
      <c r="N23" s="312">
        <f t="shared" si="7"/>
        <v>9.0004693208802639E-3</v>
      </c>
      <c r="O23" s="312">
        <f t="shared" si="7"/>
        <v>1.3916268174785591E-2</v>
      </c>
      <c r="P23" s="312">
        <f t="shared" si="7"/>
        <v>0</v>
      </c>
      <c r="Q23" s="312">
        <f t="shared" si="7"/>
        <v>1.9757354894894087E-2</v>
      </c>
      <c r="R23" s="35" t="s">
        <v>81</v>
      </c>
      <c r="S23" s="114"/>
      <c r="T23" s="114"/>
      <c r="U23" s="114"/>
    </row>
    <row r="24" spans="2:21" x14ac:dyDescent="0.25">
      <c r="B24" s="32"/>
      <c r="C24" s="32"/>
      <c r="D24" s="17"/>
      <c r="E24" s="17"/>
      <c r="F24" s="17"/>
      <c r="G24" s="17"/>
      <c r="H24" s="17"/>
      <c r="I24" s="18"/>
      <c r="K24" s="23"/>
      <c r="L24" s="80" t="s">
        <v>109</v>
      </c>
      <c r="M24" s="312">
        <f t="shared" si="8"/>
        <v>0.10332288401253918</v>
      </c>
      <c r="N24" s="312">
        <f t="shared" si="7"/>
        <v>9.0004693208802639E-3</v>
      </c>
      <c r="O24" s="312">
        <f t="shared" si="7"/>
        <v>1.3916268174785591E-2</v>
      </c>
      <c r="P24" s="312">
        <f t="shared" si="7"/>
        <v>0</v>
      </c>
      <c r="Q24" s="312">
        <f t="shared" si="7"/>
        <v>1.9757354894894087E-2</v>
      </c>
      <c r="R24" s="35" t="s">
        <v>81</v>
      </c>
      <c r="S24" s="114"/>
      <c r="T24" s="114"/>
      <c r="U24" s="114"/>
    </row>
    <row r="25" spans="2:21" x14ac:dyDescent="0.25">
      <c r="B25" s="40" t="s">
        <v>203</v>
      </c>
      <c r="C25" s="133" t="s">
        <v>107</v>
      </c>
      <c r="D25" s="32">
        <f>'Data input'!D39</f>
        <v>20</v>
      </c>
      <c r="E25" s="32">
        <f>'Data input'!E39</f>
        <v>0</v>
      </c>
      <c r="F25" s="32">
        <f>'Data input'!F39</f>
        <v>0</v>
      </c>
      <c r="G25" s="32">
        <f>'Data input'!G39</f>
        <v>0</v>
      </c>
      <c r="H25" s="32">
        <f>'Data input'!H39</f>
        <v>0</v>
      </c>
      <c r="I25" s="32" t="str">
        <f>'Data input'!I39</f>
        <v>L/day/head</v>
      </c>
      <c r="K25" s="23"/>
      <c r="L25" s="80" t="s">
        <v>110</v>
      </c>
      <c r="M25" s="312">
        <f t="shared" si="8"/>
        <v>0.10332288401253918</v>
      </c>
      <c r="N25" s="312">
        <f t="shared" si="7"/>
        <v>9.0004693208802639E-3</v>
      </c>
      <c r="O25" s="312">
        <f t="shared" si="7"/>
        <v>1.3916268174785591E-2</v>
      </c>
      <c r="P25" s="312">
        <f t="shared" si="7"/>
        <v>0</v>
      </c>
      <c r="Q25" s="312">
        <f t="shared" si="7"/>
        <v>1.9757354894894087E-2</v>
      </c>
      <c r="R25" s="35" t="s">
        <v>81</v>
      </c>
      <c r="S25" s="114"/>
      <c r="T25" s="114"/>
      <c r="U25" s="114"/>
    </row>
    <row r="26" spans="2:21" x14ac:dyDescent="0.25">
      <c r="B26" s="32"/>
      <c r="C26" s="133" t="s">
        <v>108</v>
      </c>
      <c r="D26" s="32">
        <f>'Data input'!D40</f>
        <v>20</v>
      </c>
      <c r="E26" s="32">
        <f>'Data input'!E40</f>
        <v>0</v>
      </c>
      <c r="F26" s="32">
        <f>'Data input'!F40</f>
        <v>0</v>
      </c>
      <c r="G26" s="32">
        <f>'Data input'!G40</f>
        <v>0</v>
      </c>
      <c r="H26" s="32">
        <f>'Data input'!H40</f>
        <v>0</v>
      </c>
      <c r="I26" s="32" t="str">
        <f>'Data input'!I40</f>
        <v>L/day/head</v>
      </c>
      <c r="K26" s="23"/>
      <c r="L26" s="23"/>
      <c r="M26" s="23"/>
      <c r="N26" s="23"/>
      <c r="O26" s="23"/>
      <c r="P26" s="29"/>
      <c r="Q26" s="20"/>
      <c r="R26" s="20"/>
      <c r="S26" s="114"/>
      <c r="T26" s="114"/>
      <c r="U26" s="114"/>
    </row>
    <row r="27" spans="2:21" x14ac:dyDescent="0.25">
      <c r="B27" s="32"/>
      <c r="C27" s="133" t="s">
        <v>109</v>
      </c>
      <c r="D27" s="32">
        <f>'Data input'!D41</f>
        <v>20</v>
      </c>
      <c r="E27" s="32">
        <f>'Data input'!E41</f>
        <v>0</v>
      </c>
      <c r="F27" s="32">
        <f>'Data input'!F41</f>
        <v>0</v>
      </c>
      <c r="G27" s="32">
        <f>'Data input'!G41</f>
        <v>0</v>
      </c>
      <c r="H27" s="32">
        <f>'Data input'!H41</f>
        <v>0</v>
      </c>
      <c r="I27" s="32" t="str">
        <f>'Data input'!I41</f>
        <v>L/day/head</v>
      </c>
      <c r="K27" s="21" t="s">
        <v>77</v>
      </c>
      <c r="L27" s="21" t="s">
        <v>173</v>
      </c>
      <c r="M27" s="17"/>
      <c r="N27" s="17"/>
      <c r="O27" s="18"/>
      <c r="P27" s="20"/>
      <c r="Q27" s="20"/>
      <c r="R27" s="20"/>
      <c r="S27" s="114" t="s">
        <v>133</v>
      </c>
      <c r="T27" s="114" t="s">
        <v>261</v>
      </c>
      <c r="U27" s="508" t="s">
        <v>759</v>
      </c>
    </row>
    <row r="28" spans="2:21" x14ac:dyDescent="0.25">
      <c r="B28" s="32"/>
      <c r="C28" s="133" t="s">
        <v>110</v>
      </c>
      <c r="D28" s="32">
        <f>'Data input'!D42</f>
        <v>20</v>
      </c>
      <c r="E28" s="32">
        <f>'Data input'!E42</f>
        <v>0</v>
      </c>
      <c r="F28" s="32">
        <f>'Data input'!F42</f>
        <v>0</v>
      </c>
      <c r="G28" s="32">
        <f>'Data input'!G42</f>
        <v>0</v>
      </c>
      <c r="H28" s="32">
        <f>'Data input'!H42</f>
        <v>0</v>
      </c>
      <c r="I28" s="32" t="str">
        <f>'Data input'!I42</f>
        <v>L/day/head</v>
      </c>
      <c r="K28" s="17"/>
      <c r="L28" s="20"/>
      <c r="M28" s="20" t="s">
        <v>74</v>
      </c>
      <c r="N28" s="17"/>
      <c r="O28" s="17"/>
      <c r="P28" s="18"/>
      <c r="Q28" s="20"/>
      <c r="R28" s="20"/>
      <c r="S28" s="114"/>
      <c r="T28" s="114"/>
      <c r="U28" s="114"/>
    </row>
    <row r="29" spans="2:21" x14ac:dyDescent="0.25">
      <c r="B29" s="32"/>
      <c r="C29" s="32"/>
      <c r="D29" s="32"/>
      <c r="E29" s="32"/>
      <c r="F29" s="32"/>
      <c r="G29" s="32"/>
      <c r="H29" s="32"/>
      <c r="I29" s="32"/>
      <c r="K29" s="20"/>
      <c r="L29" s="20"/>
      <c r="M29" s="20" t="s">
        <v>75</v>
      </c>
      <c r="N29" s="19"/>
      <c r="O29" s="19"/>
      <c r="P29" s="18"/>
      <c r="Q29" s="20"/>
      <c r="R29" s="20"/>
      <c r="S29" s="114"/>
      <c r="T29" s="114"/>
      <c r="U29" s="114"/>
    </row>
    <row r="30" spans="2:21" x14ac:dyDescent="0.25">
      <c r="B30" s="16" t="s">
        <v>202</v>
      </c>
      <c r="C30" s="133" t="s">
        <v>107</v>
      </c>
      <c r="D30" s="32">
        <f>'Data input'!D15</f>
        <v>550</v>
      </c>
      <c r="E30" s="32">
        <f>'Data input'!E15</f>
        <v>370</v>
      </c>
      <c r="F30" s="32">
        <f>'Data input'!F15</f>
        <v>179</v>
      </c>
      <c r="G30" s="32">
        <f>'Data input'!G15</f>
        <v>600</v>
      </c>
      <c r="H30" s="32">
        <f>'Data input'!H15</f>
        <v>225</v>
      </c>
      <c r="I30" s="32" t="str">
        <f>'Data input'!I15</f>
        <v>kg/head</v>
      </c>
      <c r="K30" s="20"/>
      <c r="L30" s="80" t="s">
        <v>107</v>
      </c>
      <c r="M30" s="583">
        <f t="shared" ref="M30:Q33" si="9">(0.3*((M8*(1-((D15+10)/100))))+(0.105*(D20*D5*0.008))+(0.0152*D5))/6.25</f>
        <v>0.1005815185252041</v>
      </c>
      <c r="N30" s="583">
        <f t="shared" si="9"/>
        <v>3.8935763715868155E-2</v>
      </c>
      <c r="O30" s="583">
        <f t="shared" si="9"/>
        <v>2.3454337149116478E-2</v>
      </c>
      <c r="P30" s="583">
        <f t="shared" si="9"/>
        <v>4.7282420165356796E-2</v>
      </c>
      <c r="Q30" s="583">
        <f t="shared" si="9"/>
        <v>2.8963829792092506E-2</v>
      </c>
      <c r="R30" s="20" t="s">
        <v>17</v>
      </c>
      <c r="S30" s="114"/>
      <c r="T30" s="114"/>
      <c r="U30" s="114"/>
    </row>
    <row r="31" spans="2:21" x14ac:dyDescent="0.25">
      <c r="B31" s="32"/>
      <c r="C31" s="133" t="s">
        <v>108</v>
      </c>
      <c r="D31" s="32">
        <f>'Data input'!D16</f>
        <v>550</v>
      </c>
      <c r="E31" s="32">
        <f>'Data input'!E16</f>
        <v>370</v>
      </c>
      <c r="F31" s="32">
        <f>'Data input'!F16</f>
        <v>179</v>
      </c>
      <c r="G31" s="32">
        <f>'Data input'!G16</f>
        <v>600</v>
      </c>
      <c r="H31" s="32">
        <f>'Data input'!H16</f>
        <v>225</v>
      </c>
      <c r="I31" s="32" t="str">
        <f>'Data input'!I16</f>
        <v>kg/head</v>
      </c>
      <c r="K31" s="20"/>
      <c r="L31" s="80" t="s">
        <v>108</v>
      </c>
      <c r="M31" s="583">
        <f t="shared" si="9"/>
        <v>0.1005815185252041</v>
      </c>
      <c r="N31" s="583">
        <f t="shared" si="9"/>
        <v>3.8935763715868155E-2</v>
      </c>
      <c r="O31" s="583">
        <f t="shared" si="9"/>
        <v>2.3454337149116478E-2</v>
      </c>
      <c r="P31" s="583">
        <f t="shared" si="9"/>
        <v>4.7282420165356796E-2</v>
      </c>
      <c r="Q31" s="583">
        <f t="shared" si="9"/>
        <v>2.8963829792092506E-2</v>
      </c>
      <c r="R31" s="20" t="s">
        <v>17</v>
      </c>
      <c r="S31" s="114"/>
      <c r="T31" s="114"/>
      <c r="U31" s="114"/>
    </row>
    <row r="32" spans="2:21" x14ac:dyDescent="0.25">
      <c r="B32" s="32"/>
      <c r="C32" s="133" t="s">
        <v>109</v>
      </c>
      <c r="D32" s="32">
        <f>'Data input'!D17</f>
        <v>550</v>
      </c>
      <c r="E32" s="32">
        <f>'Data input'!E17</f>
        <v>370</v>
      </c>
      <c r="F32" s="32">
        <f>'Data input'!F17</f>
        <v>179</v>
      </c>
      <c r="G32" s="32">
        <f>'Data input'!G17</f>
        <v>600</v>
      </c>
      <c r="H32" s="32">
        <f>'Data input'!H17</f>
        <v>225</v>
      </c>
      <c r="I32" s="32" t="str">
        <f>'Data input'!I17</f>
        <v>kg/head</v>
      </c>
      <c r="K32" s="20"/>
      <c r="L32" s="80" t="s">
        <v>109</v>
      </c>
      <c r="M32" s="583">
        <f t="shared" si="9"/>
        <v>0.1005815185252041</v>
      </c>
      <c r="N32" s="583">
        <f t="shared" si="9"/>
        <v>3.8935763715868155E-2</v>
      </c>
      <c r="O32" s="583">
        <f t="shared" si="9"/>
        <v>2.3454337149116478E-2</v>
      </c>
      <c r="P32" s="583">
        <f t="shared" si="9"/>
        <v>4.7282420165356796E-2</v>
      </c>
      <c r="Q32" s="583">
        <f t="shared" si="9"/>
        <v>2.8963829792092506E-2</v>
      </c>
      <c r="R32" s="20" t="s">
        <v>17</v>
      </c>
      <c r="S32" s="114"/>
      <c r="T32" s="114"/>
      <c r="U32" s="114"/>
    </row>
    <row r="33" spans="2:21" x14ac:dyDescent="0.25">
      <c r="B33" s="32"/>
      <c r="C33" s="133" t="s">
        <v>110</v>
      </c>
      <c r="D33" s="32">
        <f>'Data input'!D18</f>
        <v>550</v>
      </c>
      <c r="E33" s="32">
        <f>'Data input'!E18</f>
        <v>370</v>
      </c>
      <c r="F33" s="32">
        <f>'Data input'!F18</f>
        <v>179</v>
      </c>
      <c r="G33" s="32">
        <f>'Data input'!G18</f>
        <v>600</v>
      </c>
      <c r="H33" s="32">
        <f>'Data input'!H18</f>
        <v>225</v>
      </c>
      <c r="I33" s="32" t="str">
        <f>'Data input'!I18</f>
        <v>kg/head</v>
      </c>
      <c r="K33" s="20"/>
      <c r="L33" s="80" t="s">
        <v>110</v>
      </c>
      <c r="M33" s="583">
        <f t="shared" si="9"/>
        <v>0.1005815185252041</v>
      </c>
      <c r="N33" s="583">
        <f t="shared" si="9"/>
        <v>3.8935763715868155E-2</v>
      </c>
      <c r="O33" s="583">
        <f t="shared" si="9"/>
        <v>2.3454337149116478E-2</v>
      </c>
      <c r="P33" s="583">
        <f t="shared" si="9"/>
        <v>4.7282420165356796E-2</v>
      </c>
      <c r="Q33" s="583">
        <f t="shared" si="9"/>
        <v>2.8963829792092506E-2</v>
      </c>
      <c r="R33" s="20" t="s">
        <v>17</v>
      </c>
      <c r="S33" s="114"/>
      <c r="T33" s="114"/>
      <c r="U33" s="114"/>
    </row>
    <row r="34" spans="2:21" x14ac:dyDescent="0.25">
      <c r="B34" s="32"/>
      <c r="C34" s="32"/>
      <c r="D34" s="32"/>
      <c r="E34" s="32"/>
      <c r="F34" s="32"/>
      <c r="G34" s="32"/>
      <c r="H34" s="32"/>
      <c r="I34" s="32"/>
      <c r="K34" s="20"/>
      <c r="L34" s="32"/>
      <c r="M34" s="36"/>
      <c r="N34" s="36"/>
      <c r="O34" s="36"/>
      <c r="P34" s="36"/>
      <c r="Q34" s="36"/>
      <c r="R34" s="35"/>
      <c r="S34" s="114"/>
      <c r="T34" s="114"/>
      <c r="U34" s="114"/>
    </row>
    <row r="35" spans="2:21" ht="18.75" x14ac:dyDescent="0.25">
      <c r="B35" s="40" t="s">
        <v>79</v>
      </c>
      <c r="C35" s="133" t="s">
        <v>107</v>
      </c>
      <c r="D35" s="32">
        <f>'Data input'!D21</f>
        <v>0</v>
      </c>
      <c r="E35" s="32">
        <f>'Data input'!E21</f>
        <v>0.6</v>
      </c>
      <c r="F35" s="32">
        <f>'Data input'!F21</f>
        <v>0.56999999999999995</v>
      </c>
      <c r="G35" s="32">
        <f>'Data input'!G21</f>
        <v>0</v>
      </c>
      <c r="H35" s="32">
        <f>'Data input'!H21</f>
        <v>0.8</v>
      </c>
      <c r="I35" s="32" t="str">
        <f>'Data input'!I21</f>
        <v>kg/day</v>
      </c>
      <c r="K35" s="21" t="s">
        <v>80</v>
      </c>
      <c r="L35" s="20"/>
      <c r="M35" s="37" t="s">
        <v>136</v>
      </c>
      <c r="N35" s="36"/>
      <c r="O35" s="36"/>
      <c r="P35" s="36"/>
      <c r="Q35" s="20"/>
      <c r="R35" s="35"/>
      <c r="S35" s="114" t="s">
        <v>135</v>
      </c>
      <c r="T35" s="114" t="s">
        <v>262</v>
      </c>
      <c r="U35" s="508" t="s">
        <v>759</v>
      </c>
    </row>
    <row r="36" spans="2:21" x14ac:dyDescent="0.25">
      <c r="B36" s="32"/>
      <c r="C36" s="133" t="s">
        <v>108</v>
      </c>
      <c r="D36" s="32">
        <f>'Data input'!D22</f>
        <v>0</v>
      </c>
      <c r="E36" s="32">
        <f>'Data input'!E22</f>
        <v>0.6</v>
      </c>
      <c r="F36" s="32">
        <f>'Data input'!F22</f>
        <v>0.56999999999999995</v>
      </c>
      <c r="G36" s="32">
        <f>'Data input'!G22</f>
        <v>0</v>
      </c>
      <c r="H36" s="32">
        <f>'Data input'!H22</f>
        <v>0.8</v>
      </c>
      <c r="I36" s="32" t="str">
        <f>'Data input'!I22</f>
        <v>kg/day</v>
      </c>
      <c r="K36" s="20"/>
      <c r="L36" s="80" t="s">
        <v>107</v>
      </c>
      <c r="M36" s="584">
        <f t="shared" ref="M36:Q39" si="10">(M8/6.25)-M22-M30-((1.1*10^-4*D30^0.75)/6.25)</f>
        <v>0.395766628876349</v>
      </c>
      <c r="N36" s="584">
        <f t="shared" si="10"/>
        <v>0.18348933517909985</v>
      </c>
      <c r="O36" s="584">
        <f t="shared" si="10"/>
        <v>0.10206990500776245</v>
      </c>
      <c r="P36" s="584">
        <f t="shared" si="10"/>
        <v>0.23342324346170468</v>
      </c>
      <c r="Q36" s="584">
        <f t="shared" si="10"/>
        <v>0.12351546020961469</v>
      </c>
      <c r="R36" s="35" t="s">
        <v>81</v>
      </c>
      <c r="S36" s="114"/>
      <c r="T36" s="114"/>
      <c r="U36" s="114"/>
    </row>
    <row r="37" spans="2:21" x14ac:dyDescent="0.25">
      <c r="B37" s="32"/>
      <c r="C37" s="133" t="s">
        <v>109</v>
      </c>
      <c r="D37" s="32">
        <f>'Data input'!D23</f>
        <v>0</v>
      </c>
      <c r="E37" s="32">
        <f>'Data input'!E23</f>
        <v>0.6</v>
      </c>
      <c r="F37" s="32">
        <f>'Data input'!F23</f>
        <v>0.56999999999999995</v>
      </c>
      <c r="G37" s="32">
        <f>'Data input'!G23</f>
        <v>0</v>
      </c>
      <c r="H37" s="32">
        <f>'Data input'!H23</f>
        <v>0.8</v>
      </c>
      <c r="I37" s="32" t="str">
        <f>'Data input'!I23</f>
        <v>kg/day</v>
      </c>
      <c r="K37" s="20"/>
      <c r="L37" s="80" t="s">
        <v>108</v>
      </c>
      <c r="M37" s="36">
        <f t="shared" si="10"/>
        <v>0.395766628876349</v>
      </c>
      <c r="N37" s="36">
        <f t="shared" si="10"/>
        <v>0.18348933517909985</v>
      </c>
      <c r="O37" s="36">
        <f t="shared" si="10"/>
        <v>0.10206990500776245</v>
      </c>
      <c r="P37" s="36">
        <f t="shared" si="10"/>
        <v>0.23342324346170468</v>
      </c>
      <c r="Q37" s="36">
        <f t="shared" si="10"/>
        <v>0.12351546020961469</v>
      </c>
      <c r="R37" s="35" t="s">
        <v>81</v>
      </c>
      <c r="S37" s="114"/>
      <c r="T37" s="114"/>
      <c r="U37" s="114"/>
    </row>
    <row r="38" spans="2:21" x14ac:dyDescent="0.25">
      <c r="B38" s="32"/>
      <c r="C38" s="133" t="s">
        <v>110</v>
      </c>
      <c r="D38" s="32">
        <f>'Data input'!D24</f>
        <v>0</v>
      </c>
      <c r="E38" s="32">
        <f>'Data input'!E24</f>
        <v>0.6</v>
      </c>
      <c r="F38" s="32">
        <f>'Data input'!F24</f>
        <v>0.56999999999999995</v>
      </c>
      <c r="G38" s="32">
        <f>'Data input'!G24</f>
        <v>0</v>
      </c>
      <c r="H38" s="32">
        <f>'Data input'!H24</f>
        <v>0.8</v>
      </c>
      <c r="I38" s="32" t="str">
        <f>'Data input'!I24</f>
        <v>kg/day</v>
      </c>
      <c r="K38" s="20"/>
      <c r="L38" s="80" t="s">
        <v>109</v>
      </c>
      <c r="M38" s="36">
        <f t="shared" si="10"/>
        <v>0.395766628876349</v>
      </c>
      <c r="N38" s="36">
        <f t="shared" si="10"/>
        <v>0.18348933517909985</v>
      </c>
      <c r="O38" s="36">
        <f t="shared" si="10"/>
        <v>0.10206990500776245</v>
      </c>
      <c r="P38" s="36">
        <f t="shared" si="10"/>
        <v>0.23342324346170468</v>
      </c>
      <c r="Q38" s="36">
        <f t="shared" si="10"/>
        <v>0.12351546020961469</v>
      </c>
      <c r="R38" s="35" t="s">
        <v>81</v>
      </c>
      <c r="S38" s="131"/>
      <c r="T38" s="114"/>
      <c r="U38" s="114"/>
    </row>
    <row r="39" spans="2:21" x14ac:dyDescent="0.25">
      <c r="B39" s="32"/>
      <c r="C39" s="32"/>
      <c r="D39" s="32"/>
      <c r="E39" s="32"/>
      <c r="F39" s="32"/>
      <c r="G39" s="32"/>
      <c r="H39" s="32"/>
      <c r="I39" s="32"/>
      <c r="K39" s="20"/>
      <c r="L39" s="80" t="s">
        <v>110</v>
      </c>
      <c r="M39" s="36">
        <f t="shared" si="10"/>
        <v>0.395766628876349</v>
      </c>
      <c r="N39" s="36">
        <f t="shared" si="10"/>
        <v>0.18348933517909985</v>
      </c>
      <c r="O39" s="36">
        <f t="shared" si="10"/>
        <v>0.10206990500776245</v>
      </c>
      <c r="P39" s="36">
        <f t="shared" si="10"/>
        <v>0.23342324346170468</v>
      </c>
      <c r="Q39" s="36">
        <f t="shared" si="10"/>
        <v>0.12351546020961469</v>
      </c>
      <c r="R39" s="35" t="s">
        <v>81</v>
      </c>
      <c r="S39" s="114"/>
      <c r="T39" s="114"/>
      <c r="U39" s="114"/>
    </row>
    <row r="40" spans="2:21" x14ac:dyDescent="0.25">
      <c r="B40" s="40" t="s">
        <v>201</v>
      </c>
      <c r="C40" s="133" t="s">
        <v>107</v>
      </c>
      <c r="D40" s="32">
        <f>'Data input'!D9</f>
        <v>300</v>
      </c>
      <c r="E40" s="32">
        <f>'Data input'!E9</f>
        <v>50</v>
      </c>
      <c r="F40" s="32">
        <f>'Data input'!F9</f>
        <v>50</v>
      </c>
      <c r="G40" s="32">
        <f>'Data input'!G9</f>
        <v>50</v>
      </c>
      <c r="H40" s="32">
        <f>'Data input'!H9</f>
        <v>50</v>
      </c>
      <c r="I40" s="32" t="str">
        <f>'Data input'!I9</f>
        <v>head</v>
      </c>
      <c r="K40" s="20"/>
      <c r="L40" s="20"/>
      <c r="M40" s="20"/>
      <c r="N40" s="20"/>
      <c r="O40" s="20"/>
      <c r="P40" s="20"/>
      <c r="Q40" s="20"/>
      <c r="R40" s="35"/>
      <c r="S40" s="114"/>
      <c r="T40" s="114"/>
      <c r="U40" s="114"/>
    </row>
    <row r="41" spans="2:21" x14ac:dyDescent="0.25">
      <c r="B41" s="32"/>
      <c r="C41" s="133" t="s">
        <v>108</v>
      </c>
      <c r="D41" s="32">
        <f>'Data input'!D10</f>
        <v>300</v>
      </c>
      <c r="E41" s="32">
        <f>'Data input'!E10</f>
        <v>50</v>
      </c>
      <c r="F41" s="32">
        <f>'Data input'!F10</f>
        <v>50</v>
      </c>
      <c r="G41" s="32">
        <f>'Data input'!G10</f>
        <v>50</v>
      </c>
      <c r="H41" s="32">
        <f>'Data input'!H10</f>
        <v>50</v>
      </c>
      <c r="I41" s="32" t="str">
        <f>'Data input'!I10</f>
        <v>head</v>
      </c>
      <c r="K41" s="21" t="s">
        <v>143</v>
      </c>
      <c r="L41" s="20"/>
      <c r="M41" s="21" t="s">
        <v>139</v>
      </c>
      <c r="N41" s="20"/>
      <c r="O41" s="20"/>
      <c r="P41" s="20"/>
      <c r="Q41" s="20"/>
      <c r="R41" s="35"/>
      <c r="S41" s="114" t="s">
        <v>137</v>
      </c>
      <c r="T41" s="114" t="s">
        <v>295</v>
      </c>
      <c r="U41" s="114" t="s">
        <v>768</v>
      </c>
    </row>
    <row r="42" spans="2:21" x14ac:dyDescent="0.25">
      <c r="B42" s="32"/>
      <c r="C42" s="133" t="s">
        <v>109</v>
      </c>
      <c r="D42" s="32">
        <f>'Data input'!D11</f>
        <v>300</v>
      </c>
      <c r="E42" s="32">
        <f>'Data input'!E11</f>
        <v>50</v>
      </c>
      <c r="F42" s="32">
        <f>'Data input'!F11</f>
        <v>50</v>
      </c>
      <c r="G42" s="32">
        <f>'Data input'!G11</f>
        <v>50</v>
      </c>
      <c r="H42" s="32">
        <f>'Data input'!H11</f>
        <v>50</v>
      </c>
      <c r="I42" s="32" t="str">
        <f>'Data input'!I11</f>
        <v>head</v>
      </c>
      <c r="K42" s="20"/>
      <c r="L42" s="20"/>
      <c r="M42" s="20"/>
      <c r="N42" s="20"/>
      <c r="O42" s="20"/>
      <c r="P42" s="20"/>
      <c r="Q42" s="20"/>
      <c r="R42" s="20"/>
      <c r="S42" s="114"/>
      <c r="T42" s="114"/>
      <c r="U42" s="114"/>
    </row>
    <row r="43" spans="2:21" ht="18.600000000000001" customHeight="1" x14ac:dyDescent="0.25">
      <c r="B43" s="32"/>
      <c r="C43" s="133" t="s">
        <v>110</v>
      </c>
      <c r="D43" s="32">
        <f>'Data input'!D12</f>
        <v>300</v>
      </c>
      <c r="E43" s="32">
        <f>'Data input'!E12</f>
        <v>50</v>
      </c>
      <c r="F43" s="32">
        <f>'Data input'!F12</f>
        <v>50</v>
      </c>
      <c r="G43" s="32">
        <f>'Data input'!G12</f>
        <v>50</v>
      </c>
      <c r="H43" s="32">
        <f>'Data input'!H12</f>
        <v>50</v>
      </c>
      <c r="I43" s="32" t="str">
        <f>'Data input'!I12</f>
        <v>head</v>
      </c>
      <c r="K43" s="20"/>
      <c r="L43" s="80" t="s">
        <v>107</v>
      </c>
      <c r="M43" s="30">
        <f>(91.25*D40*M30)*10^-6</f>
        <v>2.7534190696274622E-3</v>
      </c>
      <c r="N43" s="30">
        <f t="shared" ref="M43:Q46" si="11">(91.25*E40*N30)*10^-6</f>
        <v>1.7764442195364845E-4</v>
      </c>
      <c r="O43" s="30">
        <f t="shared" si="11"/>
        <v>1.0701041324284394E-4</v>
      </c>
      <c r="P43" s="30">
        <f t="shared" si="11"/>
        <v>2.1572604200444039E-4</v>
      </c>
      <c r="Q43" s="30">
        <f t="shared" si="11"/>
        <v>1.3214747342642206E-4</v>
      </c>
      <c r="R43" s="20" t="s">
        <v>141</v>
      </c>
      <c r="S43" s="114"/>
      <c r="T43" s="114"/>
      <c r="U43" s="114"/>
    </row>
    <row r="44" spans="2:21" x14ac:dyDescent="0.25">
      <c r="B44" s="32"/>
      <c r="C44" s="32"/>
      <c r="D44" s="32"/>
      <c r="E44" s="32"/>
      <c r="F44" s="32"/>
      <c r="G44" s="32"/>
      <c r="H44" s="32"/>
      <c r="I44" s="32"/>
      <c r="K44" s="20"/>
      <c r="L44" s="80" t="s">
        <v>108</v>
      </c>
      <c r="M44" s="30">
        <f t="shared" si="11"/>
        <v>2.7534190696274622E-3</v>
      </c>
      <c r="N44" s="30">
        <f t="shared" si="11"/>
        <v>1.7764442195364845E-4</v>
      </c>
      <c r="O44" s="30">
        <f t="shared" si="11"/>
        <v>1.0701041324284394E-4</v>
      </c>
      <c r="P44" s="30">
        <f t="shared" si="11"/>
        <v>2.1572604200444039E-4</v>
      </c>
      <c r="Q44" s="30">
        <f t="shared" si="11"/>
        <v>1.3214747342642206E-4</v>
      </c>
      <c r="R44" s="20" t="s">
        <v>141</v>
      </c>
      <c r="S44" s="114"/>
      <c r="T44" s="114"/>
      <c r="U44" s="114"/>
    </row>
    <row r="45" spans="2:21" x14ac:dyDescent="0.25">
      <c r="B45" s="81" t="s">
        <v>78</v>
      </c>
      <c r="C45" s="133" t="s">
        <v>107</v>
      </c>
      <c r="D45" s="233">
        <f>D30/D$59</f>
        <v>0.93220338983050843</v>
      </c>
      <c r="E45" s="233">
        <f t="shared" ref="D45:H48" si="12">E30/E$59</f>
        <v>0.6271186440677966</v>
      </c>
      <c r="F45" s="233">
        <f t="shared" si="12"/>
        <v>0.30338983050847457</v>
      </c>
      <c r="G45" s="233">
        <f t="shared" si="12"/>
        <v>0.77922077922077926</v>
      </c>
      <c r="H45" s="233">
        <f t="shared" si="12"/>
        <v>0.29220779220779219</v>
      </c>
      <c r="I45" s="32"/>
      <c r="K45" s="20"/>
      <c r="L45" s="80" t="s">
        <v>109</v>
      </c>
      <c r="M45" s="30">
        <f t="shared" si="11"/>
        <v>2.7534190696274622E-3</v>
      </c>
      <c r="N45" s="30">
        <f t="shared" si="11"/>
        <v>1.7764442195364845E-4</v>
      </c>
      <c r="O45" s="30">
        <f t="shared" si="11"/>
        <v>1.0701041324284394E-4</v>
      </c>
      <c r="P45" s="30">
        <f t="shared" si="11"/>
        <v>2.1572604200444039E-4</v>
      </c>
      <c r="Q45" s="30">
        <f t="shared" si="11"/>
        <v>1.3214747342642206E-4</v>
      </c>
      <c r="R45" s="20" t="s">
        <v>141</v>
      </c>
      <c r="S45" s="114"/>
      <c r="T45" s="114"/>
      <c r="U45" s="114"/>
    </row>
    <row r="46" spans="2:21" x14ac:dyDescent="0.25">
      <c r="B46" s="32"/>
      <c r="C46" s="133" t="s">
        <v>108</v>
      </c>
      <c r="D46" s="233">
        <f t="shared" si="12"/>
        <v>0.93220338983050843</v>
      </c>
      <c r="E46" s="233">
        <f t="shared" si="12"/>
        <v>0.6271186440677966</v>
      </c>
      <c r="F46" s="233">
        <f t="shared" si="12"/>
        <v>0.30338983050847457</v>
      </c>
      <c r="G46" s="233">
        <f t="shared" si="12"/>
        <v>0.77922077922077926</v>
      </c>
      <c r="H46" s="233">
        <f t="shared" si="12"/>
        <v>0.29220779220779219</v>
      </c>
      <c r="I46" s="134"/>
      <c r="K46" s="20"/>
      <c r="L46" s="80" t="s">
        <v>110</v>
      </c>
      <c r="M46" s="30">
        <f t="shared" si="11"/>
        <v>2.7534190696274622E-3</v>
      </c>
      <c r="N46" s="30">
        <f t="shared" si="11"/>
        <v>1.7764442195364845E-4</v>
      </c>
      <c r="O46" s="30">
        <f t="shared" si="11"/>
        <v>1.0701041324284394E-4</v>
      </c>
      <c r="P46" s="30">
        <f t="shared" si="11"/>
        <v>2.1572604200444039E-4</v>
      </c>
      <c r="Q46" s="30">
        <f t="shared" si="11"/>
        <v>1.3214747342642206E-4</v>
      </c>
      <c r="R46" s="20" t="s">
        <v>141</v>
      </c>
      <c r="S46" s="114"/>
      <c r="T46" s="114"/>
      <c r="U46" s="114"/>
    </row>
    <row r="47" spans="2:21" x14ac:dyDescent="0.25">
      <c r="B47" s="32"/>
      <c r="C47" s="133" t="s">
        <v>109</v>
      </c>
      <c r="D47" s="233">
        <f t="shared" si="12"/>
        <v>0.93220338983050843</v>
      </c>
      <c r="E47" s="233">
        <f t="shared" si="12"/>
        <v>0.6271186440677966</v>
      </c>
      <c r="F47" s="233">
        <f t="shared" si="12"/>
        <v>0.30338983050847457</v>
      </c>
      <c r="G47" s="233">
        <f t="shared" si="12"/>
        <v>0.77922077922077926</v>
      </c>
      <c r="H47" s="233">
        <f t="shared" si="12"/>
        <v>0.29220779220779219</v>
      </c>
      <c r="I47" s="134"/>
      <c r="K47" s="20"/>
      <c r="L47" s="20"/>
      <c r="M47" s="20"/>
      <c r="N47" s="20"/>
      <c r="O47" s="20"/>
      <c r="P47" s="20"/>
      <c r="Q47" s="20"/>
      <c r="R47" s="20"/>
      <c r="S47" s="114"/>
      <c r="T47" s="114"/>
      <c r="U47" s="114"/>
    </row>
    <row r="48" spans="2:21" x14ac:dyDescent="0.25">
      <c r="B48" s="32"/>
      <c r="C48" s="133" t="s">
        <v>110</v>
      </c>
      <c r="D48" s="233">
        <f t="shared" si="12"/>
        <v>0.93220338983050843</v>
      </c>
      <c r="E48" s="233">
        <f t="shared" si="12"/>
        <v>0.6271186440677966</v>
      </c>
      <c r="F48" s="233">
        <f t="shared" si="12"/>
        <v>0.30338983050847457</v>
      </c>
      <c r="G48" s="233">
        <f t="shared" si="12"/>
        <v>0.77922077922077926</v>
      </c>
      <c r="H48" s="233">
        <f t="shared" si="12"/>
        <v>0.29220779220779219</v>
      </c>
      <c r="I48" s="134"/>
      <c r="K48" s="21" t="s">
        <v>144</v>
      </c>
      <c r="L48" s="20"/>
      <c r="M48" s="21" t="s">
        <v>140</v>
      </c>
      <c r="N48" s="20"/>
      <c r="O48" s="20"/>
      <c r="P48" s="20"/>
      <c r="Q48" s="20"/>
      <c r="R48" s="20"/>
      <c r="S48" s="114" t="s">
        <v>138</v>
      </c>
      <c r="T48" s="114" t="s">
        <v>296</v>
      </c>
      <c r="U48" s="114" t="s">
        <v>759</v>
      </c>
    </row>
    <row r="49" spans="2:21" x14ac:dyDescent="0.25">
      <c r="B49" s="32"/>
      <c r="C49" s="32"/>
      <c r="D49" s="32"/>
      <c r="E49" s="32"/>
      <c r="F49" s="32"/>
      <c r="G49" s="32"/>
      <c r="H49" s="32"/>
      <c r="I49" s="134"/>
      <c r="K49" s="20"/>
      <c r="L49" s="20"/>
      <c r="M49" s="20"/>
      <c r="N49" s="20"/>
      <c r="O49" s="20"/>
      <c r="P49" s="20"/>
      <c r="Q49" s="20"/>
      <c r="R49" s="20"/>
      <c r="S49" s="114"/>
      <c r="T49" s="114"/>
      <c r="U49" s="114"/>
    </row>
    <row r="50" spans="2:21" x14ac:dyDescent="0.25">
      <c r="B50" s="16"/>
      <c r="C50" s="275"/>
      <c r="D50" s="32"/>
      <c r="E50" s="32"/>
      <c r="F50" s="32"/>
      <c r="G50" s="32"/>
      <c r="H50" s="32"/>
      <c r="I50" s="18"/>
      <c r="K50" s="20"/>
      <c r="L50" s="80" t="s">
        <v>107</v>
      </c>
      <c r="M50" s="36">
        <f t="shared" ref="M50:Q53" si="13">(91.25*D40*M36)*10^-6</f>
        <v>1.0834111465490053E-2</v>
      </c>
      <c r="N50" s="36">
        <f t="shared" si="13"/>
        <v>8.3717009175464298E-4</v>
      </c>
      <c r="O50" s="36">
        <f t="shared" si="13"/>
        <v>4.6569394159791611E-4</v>
      </c>
      <c r="P50" s="36">
        <f t="shared" si="13"/>
        <v>1.0649935482940276E-3</v>
      </c>
      <c r="Q50" s="36">
        <f t="shared" si="13"/>
        <v>5.6353928720636703E-4</v>
      </c>
      <c r="R50" s="35" t="s">
        <v>141</v>
      </c>
      <c r="S50" s="114"/>
      <c r="T50" s="114"/>
      <c r="U50" s="114"/>
    </row>
    <row r="51" spans="2:21" x14ac:dyDescent="0.25">
      <c r="B51" s="21" t="s">
        <v>258</v>
      </c>
      <c r="C51" s="20"/>
      <c r="D51" s="20"/>
      <c r="E51" s="20"/>
      <c r="F51" s="20"/>
      <c r="G51" s="20"/>
      <c r="H51" s="20"/>
      <c r="I51" s="20"/>
      <c r="K51" s="20"/>
      <c r="L51" s="80" t="s">
        <v>108</v>
      </c>
      <c r="M51" s="36">
        <f t="shared" si="13"/>
        <v>1.0834111465490053E-2</v>
      </c>
      <c r="N51" s="36">
        <f t="shared" si="13"/>
        <v>8.3717009175464298E-4</v>
      </c>
      <c r="O51" s="36">
        <f t="shared" si="13"/>
        <v>4.6569394159791611E-4</v>
      </c>
      <c r="P51" s="36">
        <f t="shared" si="13"/>
        <v>1.0649935482940276E-3</v>
      </c>
      <c r="Q51" s="36">
        <f t="shared" si="13"/>
        <v>5.6353928720636703E-4</v>
      </c>
      <c r="R51" s="35" t="s">
        <v>141</v>
      </c>
      <c r="S51" s="114"/>
      <c r="T51" s="114"/>
      <c r="U51" s="114"/>
    </row>
    <row r="52" spans="2:21" x14ac:dyDescent="0.25">
      <c r="B52" s="276" t="s">
        <v>255</v>
      </c>
      <c r="C52" s="272"/>
      <c r="D52" s="272" t="s">
        <v>23</v>
      </c>
      <c r="E52" s="272" t="s">
        <v>21</v>
      </c>
      <c r="F52" s="272" t="s">
        <v>22</v>
      </c>
      <c r="G52" s="272" t="s">
        <v>256</v>
      </c>
      <c r="H52" s="272" t="s">
        <v>257</v>
      </c>
      <c r="I52" s="278"/>
      <c r="K52" s="20"/>
      <c r="L52" s="80" t="s">
        <v>109</v>
      </c>
      <c r="M52" s="36">
        <f t="shared" si="13"/>
        <v>1.0834111465490053E-2</v>
      </c>
      <c r="N52" s="36">
        <f t="shared" si="13"/>
        <v>8.3717009175464298E-4</v>
      </c>
      <c r="O52" s="36">
        <f t="shared" si="13"/>
        <v>4.6569394159791611E-4</v>
      </c>
      <c r="P52" s="36">
        <f t="shared" si="13"/>
        <v>1.0649935482940276E-3</v>
      </c>
      <c r="Q52" s="36">
        <f t="shared" si="13"/>
        <v>5.6353928720636703E-4</v>
      </c>
      <c r="R52" s="35" t="s">
        <v>141</v>
      </c>
      <c r="S52" s="114"/>
      <c r="T52" s="114"/>
      <c r="U52" s="114"/>
    </row>
    <row r="53" spans="2:21" x14ac:dyDescent="0.25">
      <c r="B53" s="277"/>
      <c r="C53" s="32"/>
      <c r="D53" s="32"/>
      <c r="E53" s="32"/>
      <c r="F53" s="32"/>
      <c r="G53" s="32"/>
      <c r="H53" s="32"/>
      <c r="I53" s="279"/>
      <c r="K53" s="20"/>
      <c r="L53" s="80" t="s">
        <v>110</v>
      </c>
      <c r="M53" s="36">
        <f t="shared" si="13"/>
        <v>1.0834111465490053E-2</v>
      </c>
      <c r="N53" s="36">
        <f t="shared" si="13"/>
        <v>8.3717009175464298E-4</v>
      </c>
      <c r="O53" s="36">
        <f t="shared" si="13"/>
        <v>4.6569394159791611E-4</v>
      </c>
      <c r="P53" s="36">
        <f t="shared" si="13"/>
        <v>1.0649935482940276E-3</v>
      </c>
      <c r="Q53" s="36">
        <f t="shared" si="13"/>
        <v>5.6353928720636703E-4</v>
      </c>
      <c r="R53" s="35" t="s">
        <v>141</v>
      </c>
      <c r="S53" s="114"/>
      <c r="T53" s="114"/>
      <c r="U53" s="114"/>
    </row>
    <row r="54" spans="2:21" x14ac:dyDescent="0.25">
      <c r="B54" s="277" t="s">
        <v>237</v>
      </c>
      <c r="C54" s="32"/>
      <c r="D54" s="32">
        <v>555</v>
      </c>
      <c r="E54" s="32">
        <v>555</v>
      </c>
      <c r="F54" s="32">
        <v>555</v>
      </c>
      <c r="G54" s="32">
        <v>770</v>
      </c>
      <c r="H54" s="32">
        <v>770</v>
      </c>
      <c r="I54" s="279"/>
      <c r="K54" s="20"/>
      <c r="L54" s="20"/>
      <c r="M54" s="20"/>
      <c r="N54" s="20"/>
      <c r="O54" s="20"/>
      <c r="P54" s="20"/>
      <c r="Q54" s="20"/>
      <c r="R54" s="20"/>
      <c r="S54" s="114"/>
      <c r="T54" s="114"/>
      <c r="U54" s="114"/>
    </row>
    <row r="55" spans="2:21" x14ac:dyDescent="0.25">
      <c r="B55" s="277" t="s">
        <v>238</v>
      </c>
      <c r="C55" s="32"/>
      <c r="D55" s="32">
        <v>570</v>
      </c>
      <c r="E55" s="32">
        <v>570</v>
      </c>
      <c r="F55" s="32">
        <v>570</v>
      </c>
      <c r="G55" s="32">
        <v>770</v>
      </c>
      <c r="H55" s="32">
        <v>770</v>
      </c>
      <c r="I55" s="279"/>
      <c r="K55" s="21" t="s">
        <v>167</v>
      </c>
      <c r="L55" s="20"/>
      <c r="M55" s="21" t="s">
        <v>142</v>
      </c>
      <c r="N55" s="20"/>
      <c r="O55" s="20"/>
      <c r="P55" s="20"/>
      <c r="Q55" s="20"/>
      <c r="R55" s="20"/>
      <c r="S55" s="114"/>
      <c r="T55" s="114"/>
      <c r="U55" s="114"/>
    </row>
    <row r="56" spans="2:21" x14ac:dyDescent="0.25">
      <c r="B56" s="277" t="s">
        <v>239</v>
      </c>
      <c r="C56" s="32"/>
      <c r="D56" s="32">
        <v>580</v>
      </c>
      <c r="E56" s="32">
        <v>580</v>
      </c>
      <c r="F56" s="32">
        <v>580</v>
      </c>
      <c r="G56" s="32">
        <v>770</v>
      </c>
      <c r="H56" s="32">
        <v>770</v>
      </c>
      <c r="I56" s="279"/>
      <c r="K56" s="20"/>
      <c r="L56" s="20"/>
      <c r="M56" s="38"/>
      <c r="N56" s="38"/>
      <c r="O56" s="38"/>
      <c r="P56" s="38"/>
      <c r="Q56" s="38"/>
      <c r="R56" s="35"/>
      <c r="S56" s="114"/>
      <c r="T56" s="114"/>
      <c r="U56" s="114"/>
    </row>
    <row r="57" spans="2:21" x14ac:dyDescent="0.25">
      <c r="B57" s="277" t="s">
        <v>240</v>
      </c>
      <c r="C57" s="32"/>
      <c r="D57" s="32">
        <v>590</v>
      </c>
      <c r="E57" s="32">
        <v>590</v>
      </c>
      <c r="F57" s="32">
        <v>590</v>
      </c>
      <c r="G57" s="32">
        <v>770</v>
      </c>
      <c r="H57" s="32">
        <v>770</v>
      </c>
      <c r="I57" s="279"/>
      <c r="K57" s="20"/>
      <c r="L57" s="80" t="s">
        <v>107</v>
      </c>
      <c r="M57" s="38">
        <f t="shared" ref="M57:Q60" si="14">M43+M50</f>
        <v>1.3587530535117515E-2</v>
      </c>
      <c r="N57" s="38">
        <f t="shared" si="14"/>
        <v>1.0148145137082914E-3</v>
      </c>
      <c r="O57" s="38">
        <f t="shared" si="14"/>
        <v>5.7270435484076002E-4</v>
      </c>
      <c r="P57" s="38">
        <f t="shared" si="14"/>
        <v>1.2807195902984679E-3</v>
      </c>
      <c r="Q57" s="38">
        <f t="shared" si="14"/>
        <v>6.9568676063278911E-4</v>
      </c>
      <c r="R57" s="35" t="s">
        <v>141</v>
      </c>
      <c r="S57" s="114"/>
      <c r="T57" s="114"/>
      <c r="U57" s="114"/>
    </row>
    <row r="58" spans="2:21" x14ac:dyDescent="0.25">
      <c r="B58" s="277" t="s">
        <v>241</v>
      </c>
      <c r="C58" s="32"/>
      <c r="D58" s="32">
        <v>590</v>
      </c>
      <c r="E58" s="32">
        <v>590</v>
      </c>
      <c r="F58" s="32">
        <v>590</v>
      </c>
      <c r="G58" s="32">
        <v>770</v>
      </c>
      <c r="H58" s="32">
        <v>770</v>
      </c>
      <c r="I58" s="279"/>
      <c r="K58" s="20"/>
      <c r="L58" s="80" t="s">
        <v>108</v>
      </c>
      <c r="M58" s="38">
        <f t="shared" si="14"/>
        <v>1.3587530535117515E-2</v>
      </c>
      <c r="N58" s="38">
        <f t="shared" si="14"/>
        <v>1.0148145137082914E-3</v>
      </c>
      <c r="O58" s="38">
        <f t="shared" si="14"/>
        <v>5.7270435484076002E-4</v>
      </c>
      <c r="P58" s="38">
        <f t="shared" si="14"/>
        <v>1.2807195902984679E-3</v>
      </c>
      <c r="Q58" s="38">
        <f t="shared" si="14"/>
        <v>6.9568676063278911E-4</v>
      </c>
      <c r="R58" s="35" t="s">
        <v>141</v>
      </c>
      <c r="S58" s="114"/>
      <c r="T58" s="114"/>
      <c r="U58" s="114"/>
    </row>
    <row r="59" spans="2:21" x14ac:dyDescent="0.25">
      <c r="B59" s="273" t="s">
        <v>111</v>
      </c>
      <c r="C59" s="135"/>
      <c r="D59" s="135">
        <v>590</v>
      </c>
      <c r="E59" s="135">
        <v>590</v>
      </c>
      <c r="F59" s="135">
        <v>590</v>
      </c>
      <c r="G59" s="135">
        <f t="shared" ref="G59:H59" si="15">AVERAGE(G54:G58)</f>
        <v>770</v>
      </c>
      <c r="H59" s="135">
        <f t="shared" si="15"/>
        <v>770</v>
      </c>
      <c r="I59" s="274"/>
      <c r="K59" s="20"/>
      <c r="L59" s="80" t="s">
        <v>109</v>
      </c>
      <c r="M59" s="38">
        <f t="shared" si="14"/>
        <v>1.3587530535117515E-2</v>
      </c>
      <c r="N59" s="38">
        <f t="shared" si="14"/>
        <v>1.0148145137082914E-3</v>
      </c>
      <c r="O59" s="38">
        <f t="shared" si="14"/>
        <v>5.7270435484076002E-4</v>
      </c>
      <c r="P59" s="38">
        <f t="shared" si="14"/>
        <v>1.2807195902984679E-3</v>
      </c>
      <c r="Q59" s="38">
        <f t="shared" si="14"/>
        <v>6.9568676063278911E-4</v>
      </c>
      <c r="R59" s="35" t="s">
        <v>141</v>
      </c>
      <c r="S59" s="114"/>
      <c r="T59" s="114"/>
      <c r="U59" s="114"/>
    </row>
    <row r="60" spans="2:21" x14ac:dyDescent="0.25">
      <c r="B60" s="20"/>
      <c r="C60" s="20"/>
      <c r="D60" s="20"/>
      <c r="E60" s="20"/>
      <c r="F60" s="20"/>
      <c r="G60" s="20"/>
      <c r="H60" s="20"/>
      <c r="I60" s="20"/>
      <c r="K60" s="20"/>
      <c r="L60" s="80" t="s">
        <v>110</v>
      </c>
      <c r="M60" s="38">
        <f t="shared" si="14"/>
        <v>1.3587530535117515E-2</v>
      </c>
      <c r="N60" s="38">
        <f t="shared" si="14"/>
        <v>1.0148145137082914E-3</v>
      </c>
      <c r="O60" s="38">
        <f t="shared" si="14"/>
        <v>5.7270435484076002E-4</v>
      </c>
      <c r="P60" s="38">
        <f t="shared" si="14"/>
        <v>1.2807195902984679E-3</v>
      </c>
      <c r="Q60" s="38">
        <f t="shared" si="14"/>
        <v>6.9568676063278911E-4</v>
      </c>
      <c r="R60" s="35" t="s">
        <v>141</v>
      </c>
      <c r="S60" s="114"/>
      <c r="T60" s="114"/>
      <c r="U60" s="114"/>
    </row>
    <row r="61" spans="2:21" x14ac:dyDescent="0.25">
      <c r="B61" s="276"/>
      <c r="C61" s="280" t="str">
        <f>'Data input'!C96</f>
        <v>Pasture</v>
      </c>
      <c r="D61" s="280" t="str">
        <f>'Data input'!D96</f>
        <v>Anaerobic Lagoon</v>
      </c>
      <c r="E61" s="280" t="str">
        <f>'Data input'!E96</f>
        <v>Sump and Dispersal</v>
      </c>
      <c r="F61" s="280" t="str">
        <f>'Data input'!F96</f>
        <v>Drain to Paddocks</v>
      </c>
      <c r="G61" s="280" t="str">
        <f>'Data input'!G96</f>
        <v>Soild Storage</v>
      </c>
      <c r="H61" s="280"/>
      <c r="I61" s="281"/>
      <c r="K61" s="20"/>
      <c r="L61" s="116"/>
      <c r="M61" s="588">
        <f>SUM(M57:M60)</f>
        <v>5.435012214047006E-2</v>
      </c>
      <c r="N61" s="38"/>
      <c r="O61" s="38"/>
      <c r="P61" s="38"/>
      <c r="Q61" s="38"/>
      <c r="R61" s="35"/>
      <c r="S61" s="114"/>
      <c r="T61" s="114"/>
      <c r="U61" s="114"/>
    </row>
    <row r="62" spans="2:21" x14ac:dyDescent="0.25">
      <c r="B62" s="282" t="s">
        <v>146</v>
      </c>
      <c r="C62" s="32">
        <f>'Data input'!C97/100</f>
        <v>0.84290000000000009</v>
      </c>
      <c r="D62" s="32">
        <f>'Data input'!D97/100</f>
        <v>0.11599999999999999</v>
      </c>
      <c r="E62" s="32">
        <f>'Data input'!E97/100</f>
        <v>1.1000000000000001E-2</v>
      </c>
      <c r="F62" s="32">
        <f>'Data input'!F97/100</f>
        <v>5.5000000000000005E-3</v>
      </c>
      <c r="G62" s="587">
        <f>'Data input'!G97/100</f>
        <v>2.46E-2</v>
      </c>
      <c r="H62" s="32"/>
      <c r="I62" s="279" t="s">
        <v>294</v>
      </c>
      <c r="K62" s="20"/>
      <c r="L62" s="20"/>
      <c r="M62" s="20"/>
      <c r="N62" s="20"/>
      <c r="O62" s="20"/>
      <c r="P62" s="20"/>
      <c r="Q62" s="20"/>
      <c r="R62" s="20"/>
      <c r="S62" s="114"/>
      <c r="T62" s="114"/>
      <c r="U62" s="114"/>
    </row>
    <row r="63" spans="2:21" x14ac:dyDescent="0.25">
      <c r="B63" s="283" t="s">
        <v>147</v>
      </c>
      <c r="C63" s="135">
        <f>'Data input'!C98/100</f>
        <v>1</v>
      </c>
      <c r="D63" s="135">
        <f>'Data input'!D98/100</f>
        <v>0</v>
      </c>
      <c r="E63" s="135">
        <f>'Data input'!E98/100</f>
        <v>0</v>
      </c>
      <c r="F63" s="135">
        <f>'Data input'!F98/100</f>
        <v>0</v>
      </c>
      <c r="G63" s="135">
        <f>'Data input'!G98/100</f>
        <v>0</v>
      </c>
      <c r="H63" s="135"/>
      <c r="I63" s="274" t="s">
        <v>294</v>
      </c>
      <c r="K63" s="21" t="s">
        <v>289</v>
      </c>
      <c r="L63" s="32"/>
      <c r="M63" s="21" t="s">
        <v>290</v>
      </c>
      <c r="N63" s="32"/>
      <c r="O63" s="40" t="s">
        <v>291</v>
      </c>
      <c r="P63" s="32"/>
      <c r="Q63" s="35"/>
      <c r="R63" s="20"/>
      <c r="S63" s="114" t="s">
        <v>145</v>
      </c>
      <c r="T63" s="114" t="s">
        <v>266</v>
      </c>
      <c r="U63" s="114" t="s">
        <v>798</v>
      </c>
    </row>
    <row r="64" spans="2:21" x14ac:dyDescent="0.25">
      <c r="B64" s="20"/>
      <c r="C64" s="20"/>
      <c r="D64" s="20"/>
      <c r="E64" s="20"/>
      <c r="F64" s="20"/>
      <c r="G64" s="20"/>
      <c r="H64" s="20"/>
      <c r="I64" s="20"/>
      <c r="K64" s="20"/>
      <c r="L64" s="20"/>
      <c r="M64" s="20" t="s">
        <v>84</v>
      </c>
      <c r="N64" s="39"/>
      <c r="O64" s="39"/>
      <c r="P64" s="39"/>
      <c r="Q64" s="39"/>
      <c r="R64" s="20"/>
      <c r="S64" s="114"/>
      <c r="T64" s="114"/>
      <c r="U64" s="114"/>
    </row>
    <row r="65" spans="2:21" x14ac:dyDescent="0.25">
      <c r="B65" s="21" t="s">
        <v>299</v>
      </c>
      <c r="C65" s="20"/>
      <c r="D65" s="20"/>
      <c r="E65" s="20"/>
      <c r="F65" s="20"/>
      <c r="G65" s="20"/>
      <c r="H65" s="20"/>
      <c r="I65" s="20"/>
      <c r="K65" s="20"/>
      <c r="L65" s="20"/>
      <c r="M65" s="20" t="s">
        <v>158</v>
      </c>
      <c r="N65" s="20"/>
      <c r="O65" s="20"/>
      <c r="P65" s="20"/>
      <c r="Q65" s="20"/>
      <c r="R65" s="20"/>
      <c r="S65" s="114"/>
      <c r="T65" s="114"/>
      <c r="U65" s="114"/>
    </row>
    <row r="66" spans="2:21" x14ac:dyDescent="0.25">
      <c r="B66" s="276" t="s">
        <v>246</v>
      </c>
      <c r="C66" s="314" t="s">
        <v>298</v>
      </c>
      <c r="D66" s="280" t="s">
        <v>153</v>
      </c>
      <c r="E66" s="281"/>
      <c r="F66" s="20"/>
      <c r="G66" s="20"/>
      <c r="H66" s="20"/>
      <c r="I66" s="20"/>
      <c r="K66" s="20"/>
      <c r="L66" s="20"/>
      <c r="M66" s="21"/>
      <c r="N66" s="20"/>
      <c r="O66" s="20"/>
      <c r="P66" s="20"/>
      <c r="Q66" s="20"/>
      <c r="R66" s="40"/>
      <c r="S66" s="114"/>
      <c r="T66" s="114"/>
      <c r="U66" s="114"/>
    </row>
    <row r="67" spans="2:21" x14ac:dyDescent="0.25">
      <c r="B67" s="277">
        <v>1</v>
      </c>
      <c r="C67" s="32" t="s">
        <v>769</v>
      </c>
      <c r="D67" s="32">
        <v>4.0000000000000001E-3</v>
      </c>
      <c r="E67" s="511"/>
      <c r="F67" s="20"/>
      <c r="G67" s="20"/>
      <c r="H67" s="20"/>
      <c r="I67" s="20"/>
      <c r="K67" s="40" t="s">
        <v>25</v>
      </c>
      <c r="L67" s="20"/>
      <c r="M67" s="21" t="s">
        <v>797</v>
      </c>
      <c r="N67" s="20"/>
      <c r="O67" s="20"/>
      <c r="P67" s="20"/>
      <c r="Q67" s="20"/>
      <c r="R67" s="40"/>
      <c r="S67" s="114"/>
      <c r="T67" s="114"/>
      <c r="U67" s="114"/>
    </row>
    <row r="68" spans="2:21" x14ac:dyDescent="0.25">
      <c r="B68" s="277">
        <v>2</v>
      </c>
      <c r="C68" s="32" t="s">
        <v>770</v>
      </c>
      <c r="D68" s="32">
        <v>2E-3</v>
      </c>
      <c r="E68" s="511"/>
      <c r="F68" s="315"/>
      <c r="G68" s="315"/>
      <c r="H68" s="315"/>
      <c r="I68" s="20"/>
      <c r="K68" s="20"/>
      <c r="L68" s="20"/>
      <c r="M68" s="20"/>
      <c r="N68" s="20"/>
      <c r="O68" s="20"/>
      <c r="P68" s="20"/>
      <c r="Q68" s="20"/>
      <c r="R68" s="40"/>
      <c r="S68" s="114"/>
      <c r="T68" s="114"/>
      <c r="U68" s="114"/>
    </row>
    <row r="69" spans="2:21" x14ac:dyDescent="0.25">
      <c r="B69" s="277">
        <v>3</v>
      </c>
      <c r="C69" s="32" t="s">
        <v>771</v>
      </c>
      <c r="D69" s="32">
        <v>8.5000000000000006E-3</v>
      </c>
      <c r="E69" s="511"/>
      <c r="F69" s="315"/>
      <c r="G69" s="315"/>
      <c r="H69" s="315"/>
      <c r="I69" s="20"/>
      <c r="K69" s="40" t="s">
        <v>267</v>
      </c>
      <c r="L69" s="80" t="s">
        <v>107</v>
      </c>
      <c r="M69" s="117">
        <f>M57*$C$62</f>
        <v>1.1452929488050555E-2</v>
      </c>
      <c r="N69" s="117">
        <f>N57*$C$63</f>
        <v>1.0148145137082914E-3</v>
      </c>
      <c r="O69" s="117">
        <f t="shared" ref="O69:Q69" si="16">O57*$C$63</f>
        <v>5.7270435484076002E-4</v>
      </c>
      <c r="P69" s="117">
        <f t="shared" si="16"/>
        <v>1.2807195902984679E-3</v>
      </c>
      <c r="Q69" s="117">
        <f t="shared" si="16"/>
        <v>6.9568676063278911E-4</v>
      </c>
      <c r="R69" s="20" t="s">
        <v>141</v>
      </c>
      <c r="S69" s="114"/>
      <c r="T69" s="114"/>
      <c r="U69" s="114"/>
    </row>
    <row r="70" spans="2:21" x14ac:dyDescent="0.25">
      <c r="B70" s="277">
        <v>4</v>
      </c>
      <c r="C70" s="32" t="s">
        <v>772</v>
      </c>
      <c r="D70" s="32">
        <v>2E-3</v>
      </c>
      <c r="E70" s="511"/>
      <c r="F70" s="315"/>
      <c r="G70" s="315"/>
      <c r="H70" s="315"/>
      <c r="I70" s="20"/>
      <c r="K70" s="20"/>
      <c r="L70" s="80" t="s">
        <v>108</v>
      </c>
      <c r="M70" s="117">
        <f t="shared" ref="M70:M72" si="17">M58*$C$62</f>
        <v>1.1452929488050555E-2</v>
      </c>
      <c r="N70" s="117">
        <f t="shared" ref="N70:Q72" si="18">N58*$C$63</f>
        <v>1.0148145137082914E-3</v>
      </c>
      <c r="O70" s="117">
        <f t="shared" si="18"/>
        <v>5.7270435484076002E-4</v>
      </c>
      <c r="P70" s="117">
        <f t="shared" si="18"/>
        <v>1.2807195902984679E-3</v>
      </c>
      <c r="Q70" s="117">
        <f t="shared" si="18"/>
        <v>6.9568676063278911E-4</v>
      </c>
      <c r="R70" s="20" t="s">
        <v>141</v>
      </c>
      <c r="S70" s="114"/>
      <c r="T70" s="114"/>
      <c r="U70" s="114"/>
    </row>
    <row r="71" spans="2:21" x14ac:dyDescent="0.25">
      <c r="B71" s="277" t="s">
        <v>298</v>
      </c>
      <c r="C71" s="32"/>
      <c r="D71" s="32"/>
      <c r="E71" s="279"/>
      <c r="F71" s="315"/>
      <c r="G71" s="315"/>
      <c r="H71" s="315"/>
      <c r="I71" s="20"/>
      <c r="K71" s="20"/>
      <c r="L71" s="80" t="s">
        <v>109</v>
      </c>
      <c r="M71" s="117">
        <f t="shared" si="17"/>
        <v>1.1452929488050555E-2</v>
      </c>
      <c r="N71" s="117">
        <f t="shared" si="18"/>
        <v>1.0148145137082914E-3</v>
      </c>
      <c r="O71" s="117">
        <f t="shared" si="18"/>
        <v>5.7270435484076002E-4</v>
      </c>
      <c r="P71" s="117">
        <f t="shared" si="18"/>
        <v>1.2807195902984679E-3</v>
      </c>
      <c r="Q71" s="117">
        <f t="shared" si="18"/>
        <v>6.9568676063278911E-4</v>
      </c>
      <c r="R71" s="20" t="s">
        <v>141</v>
      </c>
      <c r="S71" s="114"/>
      <c r="T71" s="114"/>
      <c r="U71" s="114"/>
    </row>
    <row r="72" spans="2:21" x14ac:dyDescent="0.25">
      <c r="B72" s="283">
        <f>'Data input'!E5</f>
        <v>1</v>
      </c>
      <c r="C72" s="109" t="str">
        <f>INDEX(C67:C70,MATCH(B72,B67:B70,0))</f>
        <v>Irrigated Pasture</v>
      </c>
      <c r="D72" s="109">
        <f>INDEX(D67:D70,MATCH(B72,B67:B70,0))</f>
        <v>4.0000000000000001E-3</v>
      </c>
      <c r="E72" s="512"/>
      <c r="F72" s="20"/>
      <c r="G72" s="20"/>
      <c r="H72" s="20"/>
      <c r="I72" s="20"/>
      <c r="K72" s="20"/>
      <c r="L72" s="80" t="s">
        <v>110</v>
      </c>
      <c r="M72" s="117">
        <f t="shared" si="17"/>
        <v>1.1452929488050555E-2</v>
      </c>
      <c r="N72" s="117">
        <f t="shared" si="18"/>
        <v>1.0148145137082914E-3</v>
      </c>
      <c r="O72" s="117">
        <f t="shared" si="18"/>
        <v>5.7270435484076002E-4</v>
      </c>
      <c r="P72" s="117">
        <f t="shared" si="18"/>
        <v>1.2807195902984679E-3</v>
      </c>
      <c r="Q72" s="117">
        <f t="shared" si="18"/>
        <v>6.9568676063278911E-4</v>
      </c>
      <c r="R72" s="20" t="s">
        <v>141</v>
      </c>
      <c r="S72" s="114"/>
      <c r="T72" s="114"/>
      <c r="U72" s="114"/>
    </row>
    <row r="73" spans="2:21" x14ac:dyDescent="0.25">
      <c r="K73" s="20"/>
      <c r="L73" s="20"/>
      <c r="M73" s="589"/>
      <c r="N73" s="20"/>
      <c r="O73" s="20"/>
      <c r="P73" s="20"/>
      <c r="Q73" s="20"/>
      <c r="R73" s="20"/>
      <c r="S73" s="114"/>
      <c r="T73" s="114"/>
      <c r="U73" s="114"/>
    </row>
    <row r="74" spans="2:21" x14ac:dyDescent="0.25">
      <c r="K74" s="40" t="s">
        <v>268</v>
      </c>
      <c r="L74" s="80" t="s">
        <v>107</v>
      </c>
      <c r="M74" s="117">
        <f>M57*$D$62</f>
        <v>1.5761535420736317E-3</v>
      </c>
      <c r="N74" s="117">
        <f>N57*$D$63</f>
        <v>0</v>
      </c>
      <c r="O74" s="117">
        <f t="shared" ref="O74:Q74" si="19">O57*$D$63</f>
        <v>0</v>
      </c>
      <c r="P74" s="117">
        <f t="shared" si="19"/>
        <v>0</v>
      </c>
      <c r="Q74" s="117">
        <f t="shared" si="19"/>
        <v>0</v>
      </c>
      <c r="R74" s="20" t="s">
        <v>141</v>
      </c>
      <c r="S74" s="114"/>
      <c r="T74" s="114"/>
      <c r="U74" s="114"/>
    </row>
    <row r="75" spans="2:21" x14ac:dyDescent="0.25">
      <c r="K75" s="20"/>
      <c r="L75" s="80" t="s">
        <v>108</v>
      </c>
      <c r="M75" s="117">
        <f t="shared" ref="M75:M77" si="20">M58*$D$62</f>
        <v>1.5761535420736317E-3</v>
      </c>
      <c r="N75" s="117">
        <f t="shared" ref="N75:Q77" si="21">N58*$D$63</f>
        <v>0</v>
      </c>
      <c r="O75" s="117">
        <f t="shared" si="21"/>
        <v>0</v>
      </c>
      <c r="P75" s="117">
        <f t="shared" si="21"/>
        <v>0</v>
      </c>
      <c r="Q75" s="117">
        <f t="shared" si="21"/>
        <v>0</v>
      </c>
      <c r="R75" s="20" t="s">
        <v>141</v>
      </c>
      <c r="S75" s="114"/>
      <c r="T75" s="114"/>
      <c r="U75" s="114"/>
    </row>
    <row r="76" spans="2:21" x14ac:dyDescent="0.25">
      <c r="K76" s="20"/>
      <c r="L76" s="80" t="s">
        <v>109</v>
      </c>
      <c r="M76" s="117">
        <f t="shared" si="20"/>
        <v>1.5761535420736317E-3</v>
      </c>
      <c r="N76" s="117">
        <f t="shared" si="21"/>
        <v>0</v>
      </c>
      <c r="O76" s="117">
        <f t="shared" si="21"/>
        <v>0</v>
      </c>
      <c r="P76" s="117">
        <f t="shared" si="21"/>
        <v>0</v>
      </c>
      <c r="Q76" s="117">
        <f t="shared" si="21"/>
        <v>0</v>
      </c>
      <c r="R76" s="20" t="s">
        <v>141</v>
      </c>
      <c r="S76" s="114"/>
      <c r="T76" s="114"/>
      <c r="U76" s="114"/>
    </row>
    <row r="77" spans="2:21" x14ac:dyDescent="0.25">
      <c r="K77" s="20"/>
      <c r="L77" s="80" t="s">
        <v>110</v>
      </c>
      <c r="M77" s="117">
        <f t="shared" si="20"/>
        <v>1.5761535420736317E-3</v>
      </c>
      <c r="N77" s="117">
        <f t="shared" si="21"/>
        <v>0</v>
      </c>
      <c r="O77" s="117">
        <f t="shared" si="21"/>
        <v>0</v>
      </c>
      <c r="P77" s="117">
        <f t="shared" si="21"/>
        <v>0</v>
      </c>
      <c r="Q77" s="117">
        <f t="shared" si="21"/>
        <v>0</v>
      </c>
      <c r="R77" s="20" t="s">
        <v>141</v>
      </c>
      <c r="S77" s="114"/>
      <c r="T77" s="114"/>
      <c r="U77" s="114"/>
    </row>
    <row r="78" spans="2:21" x14ac:dyDescent="0.25">
      <c r="K78" s="20"/>
      <c r="L78" s="20"/>
      <c r="M78" s="589"/>
      <c r="N78" s="20"/>
      <c r="O78" s="20"/>
      <c r="P78" s="20"/>
      <c r="Q78" s="20"/>
      <c r="R78" s="20"/>
      <c r="S78" s="114"/>
      <c r="T78" s="114"/>
      <c r="U78" s="114"/>
    </row>
    <row r="79" spans="2:21" x14ac:dyDescent="0.25">
      <c r="K79" s="40" t="s">
        <v>269</v>
      </c>
      <c r="L79" s="80" t="s">
        <v>107</v>
      </c>
      <c r="M79" s="117">
        <f>M57*$E$62</f>
        <v>1.4946283588629269E-4</v>
      </c>
      <c r="N79" s="117">
        <f>N57*$E$63</f>
        <v>0</v>
      </c>
      <c r="O79" s="117">
        <f t="shared" ref="O79:Q79" si="22">O57*$E$63</f>
        <v>0</v>
      </c>
      <c r="P79" s="117">
        <f t="shared" si="22"/>
        <v>0</v>
      </c>
      <c r="Q79" s="117">
        <f t="shared" si="22"/>
        <v>0</v>
      </c>
      <c r="R79" s="20" t="s">
        <v>141</v>
      </c>
      <c r="S79" s="114"/>
      <c r="T79" s="114"/>
      <c r="U79" s="114"/>
    </row>
    <row r="80" spans="2:21" x14ac:dyDescent="0.25">
      <c r="K80" s="20"/>
      <c r="L80" s="80" t="s">
        <v>108</v>
      </c>
      <c r="M80" s="117">
        <f t="shared" ref="M80:M82" si="23">M58*$E$62</f>
        <v>1.4946283588629269E-4</v>
      </c>
      <c r="N80" s="117">
        <f t="shared" ref="N80:Q82" si="24">N58*$E$63</f>
        <v>0</v>
      </c>
      <c r="O80" s="117">
        <f t="shared" si="24"/>
        <v>0</v>
      </c>
      <c r="P80" s="117">
        <f t="shared" si="24"/>
        <v>0</v>
      </c>
      <c r="Q80" s="117">
        <f t="shared" si="24"/>
        <v>0</v>
      </c>
      <c r="R80" s="20" t="s">
        <v>141</v>
      </c>
      <c r="S80" s="114"/>
      <c r="T80" s="114"/>
      <c r="U80" s="114"/>
    </row>
    <row r="81" spans="11:21" x14ac:dyDescent="0.25">
      <c r="K81" s="20"/>
      <c r="L81" s="80" t="s">
        <v>109</v>
      </c>
      <c r="M81" s="117">
        <f t="shared" si="23"/>
        <v>1.4946283588629269E-4</v>
      </c>
      <c r="N81" s="117">
        <f t="shared" si="24"/>
        <v>0</v>
      </c>
      <c r="O81" s="117">
        <f t="shared" si="24"/>
        <v>0</v>
      </c>
      <c r="P81" s="117">
        <f t="shared" si="24"/>
        <v>0</v>
      </c>
      <c r="Q81" s="117">
        <f t="shared" si="24"/>
        <v>0</v>
      </c>
      <c r="R81" s="20" t="s">
        <v>141</v>
      </c>
      <c r="S81" s="114"/>
      <c r="T81" s="114"/>
      <c r="U81" s="114"/>
    </row>
    <row r="82" spans="11:21" x14ac:dyDescent="0.25">
      <c r="K82" s="20"/>
      <c r="L82" s="80" t="s">
        <v>110</v>
      </c>
      <c r="M82" s="117">
        <f t="shared" si="23"/>
        <v>1.4946283588629269E-4</v>
      </c>
      <c r="N82" s="117">
        <f t="shared" si="24"/>
        <v>0</v>
      </c>
      <c r="O82" s="117">
        <f t="shared" si="24"/>
        <v>0</v>
      </c>
      <c r="P82" s="117">
        <f t="shared" si="24"/>
        <v>0</v>
      </c>
      <c r="Q82" s="117">
        <f t="shared" si="24"/>
        <v>0</v>
      </c>
      <c r="R82" s="20" t="s">
        <v>141</v>
      </c>
      <c r="S82" s="114"/>
      <c r="T82" s="114"/>
      <c r="U82" s="114"/>
    </row>
    <row r="83" spans="11:21" x14ac:dyDescent="0.25">
      <c r="K83" s="20"/>
      <c r="L83" s="80"/>
      <c r="M83" s="589"/>
      <c r="N83" s="117"/>
      <c r="O83" s="117"/>
      <c r="P83" s="117"/>
      <c r="Q83" s="117"/>
      <c r="R83" s="20"/>
      <c r="S83" s="114"/>
      <c r="T83" s="114"/>
      <c r="U83" s="114"/>
    </row>
    <row r="84" spans="11:21" x14ac:dyDescent="0.25">
      <c r="K84" s="40" t="s">
        <v>270</v>
      </c>
      <c r="L84" s="80" t="s">
        <v>107</v>
      </c>
      <c r="M84" s="117">
        <f>M57*$F$62</f>
        <v>7.4731417943146346E-5</v>
      </c>
      <c r="N84" s="117">
        <f>N57*$F$63</f>
        <v>0</v>
      </c>
      <c r="O84" s="117">
        <f t="shared" ref="O84:Q84" si="25">O57*$F$63</f>
        <v>0</v>
      </c>
      <c r="P84" s="117">
        <f t="shared" si="25"/>
        <v>0</v>
      </c>
      <c r="Q84" s="117">
        <f t="shared" si="25"/>
        <v>0</v>
      </c>
      <c r="R84" s="20" t="s">
        <v>141</v>
      </c>
      <c r="S84" s="114"/>
      <c r="T84" s="114"/>
      <c r="U84" s="114"/>
    </row>
    <row r="85" spans="11:21" x14ac:dyDescent="0.25">
      <c r="K85" s="20"/>
      <c r="L85" s="80" t="s">
        <v>108</v>
      </c>
      <c r="M85" s="117">
        <f t="shared" ref="M85:M87" si="26">M58*$F$62</f>
        <v>7.4731417943146346E-5</v>
      </c>
      <c r="N85" s="117">
        <f t="shared" ref="N85:Q87" si="27">N58*$F$63</f>
        <v>0</v>
      </c>
      <c r="O85" s="117">
        <f t="shared" si="27"/>
        <v>0</v>
      </c>
      <c r="P85" s="117">
        <f t="shared" si="27"/>
        <v>0</v>
      </c>
      <c r="Q85" s="117">
        <f t="shared" si="27"/>
        <v>0</v>
      </c>
      <c r="R85" s="20" t="s">
        <v>141</v>
      </c>
      <c r="S85" s="114"/>
      <c r="T85" s="114"/>
      <c r="U85" s="114"/>
    </row>
    <row r="86" spans="11:21" x14ac:dyDescent="0.25">
      <c r="K86" s="20"/>
      <c r="L86" s="80" t="s">
        <v>109</v>
      </c>
      <c r="M86" s="117">
        <f t="shared" si="26"/>
        <v>7.4731417943146346E-5</v>
      </c>
      <c r="N86" s="117">
        <f t="shared" si="27"/>
        <v>0</v>
      </c>
      <c r="O86" s="117">
        <f t="shared" si="27"/>
        <v>0</v>
      </c>
      <c r="P86" s="117">
        <f t="shared" si="27"/>
        <v>0</v>
      </c>
      <c r="Q86" s="117">
        <f t="shared" si="27"/>
        <v>0</v>
      </c>
      <c r="R86" s="20" t="s">
        <v>141</v>
      </c>
      <c r="S86" s="114"/>
      <c r="T86" s="114"/>
      <c r="U86" s="114"/>
    </row>
    <row r="87" spans="11:21" x14ac:dyDescent="0.25">
      <c r="K87" s="20"/>
      <c r="L87" s="80" t="s">
        <v>110</v>
      </c>
      <c r="M87" s="117">
        <f t="shared" si="26"/>
        <v>7.4731417943146346E-5</v>
      </c>
      <c r="N87" s="117">
        <f t="shared" si="27"/>
        <v>0</v>
      </c>
      <c r="O87" s="117">
        <f t="shared" si="27"/>
        <v>0</v>
      </c>
      <c r="P87" s="117">
        <f t="shared" si="27"/>
        <v>0</v>
      </c>
      <c r="Q87" s="117">
        <f t="shared" si="27"/>
        <v>0</v>
      </c>
      <c r="R87" s="20" t="s">
        <v>141</v>
      </c>
      <c r="S87" s="114"/>
      <c r="T87" s="114"/>
      <c r="U87" s="114"/>
    </row>
    <row r="88" spans="11:21" x14ac:dyDescent="0.25">
      <c r="K88" s="20"/>
      <c r="L88" s="80"/>
      <c r="M88" s="589"/>
      <c r="N88" s="117"/>
      <c r="O88" s="117"/>
      <c r="P88" s="117"/>
      <c r="Q88" s="117"/>
      <c r="R88" s="20"/>
      <c r="S88" s="114"/>
      <c r="T88" s="114"/>
      <c r="U88" s="114"/>
    </row>
    <row r="89" spans="11:21" x14ac:dyDescent="0.25">
      <c r="K89" s="40" t="s">
        <v>271</v>
      </c>
      <c r="L89" s="80" t="s">
        <v>107</v>
      </c>
      <c r="M89" s="117">
        <f>M57*$G$62</f>
        <v>3.3425325116389086E-4</v>
      </c>
      <c r="N89" s="117">
        <f>N57*$G$63</f>
        <v>0</v>
      </c>
      <c r="O89" s="117">
        <f t="shared" ref="O89:Q89" si="28">O57*$G$63</f>
        <v>0</v>
      </c>
      <c r="P89" s="117">
        <f t="shared" si="28"/>
        <v>0</v>
      </c>
      <c r="Q89" s="117">
        <f t="shared" si="28"/>
        <v>0</v>
      </c>
      <c r="R89" s="20" t="s">
        <v>141</v>
      </c>
      <c r="S89" s="114"/>
      <c r="T89" s="114"/>
      <c r="U89" s="114"/>
    </row>
    <row r="90" spans="11:21" x14ac:dyDescent="0.25">
      <c r="K90" s="20"/>
      <c r="L90" s="80" t="s">
        <v>108</v>
      </c>
      <c r="M90" s="117">
        <f>M58*$G$62</f>
        <v>3.3425325116389086E-4</v>
      </c>
      <c r="N90" s="117">
        <f>N58*$G$63</f>
        <v>0</v>
      </c>
      <c r="O90" s="117">
        <f t="shared" ref="O90:Q92" si="29">O58*$G$63</f>
        <v>0</v>
      </c>
      <c r="P90" s="117">
        <f t="shared" si="29"/>
        <v>0</v>
      </c>
      <c r="Q90" s="117">
        <f t="shared" si="29"/>
        <v>0</v>
      </c>
      <c r="R90" s="20" t="s">
        <v>141</v>
      </c>
      <c r="S90" s="114"/>
      <c r="T90" s="114"/>
      <c r="U90" s="114"/>
    </row>
    <row r="91" spans="11:21" x14ac:dyDescent="0.25">
      <c r="K91" s="20"/>
      <c r="L91" s="80" t="s">
        <v>109</v>
      </c>
      <c r="M91" s="117">
        <f>M59*$G$62</f>
        <v>3.3425325116389086E-4</v>
      </c>
      <c r="N91" s="117">
        <f>N59*$G$63</f>
        <v>0</v>
      </c>
      <c r="O91" s="117">
        <f t="shared" si="29"/>
        <v>0</v>
      </c>
      <c r="P91" s="117">
        <f t="shared" si="29"/>
        <v>0</v>
      </c>
      <c r="Q91" s="117">
        <f t="shared" si="29"/>
        <v>0</v>
      </c>
      <c r="R91" s="20" t="s">
        <v>141</v>
      </c>
      <c r="S91" s="114"/>
      <c r="T91" s="114"/>
      <c r="U91" s="114"/>
    </row>
    <row r="92" spans="11:21" x14ac:dyDescent="0.25">
      <c r="K92" s="20"/>
      <c r="L92" s="80" t="s">
        <v>110</v>
      </c>
      <c r="M92" s="117">
        <f>M60*$G$62</f>
        <v>3.3425325116389086E-4</v>
      </c>
      <c r="N92" s="117">
        <f>N60*$G$63</f>
        <v>0</v>
      </c>
      <c r="O92" s="117">
        <f t="shared" si="29"/>
        <v>0</v>
      </c>
      <c r="P92" s="117">
        <f t="shared" si="29"/>
        <v>0</v>
      </c>
      <c r="Q92" s="117">
        <f t="shared" si="29"/>
        <v>0</v>
      </c>
      <c r="R92" s="20" t="s">
        <v>141</v>
      </c>
      <c r="S92" s="114"/>
      <c r="T92" s="114"/>
      <c r="U92" s="114"/>
    </row>
    <row r="93" spans="11:21" x14ac:dyDescent="0.25">
      <c r="K93" s="20"/>
      <c r="L93" s="20"/>
      <c r="M93" s="589"/>
      <c r="N93" s="117"/>
      <c r="O93" s="117"/>
      <c r="P93" s="117"/>
      <c r="Q93" s="117"/>
      <c r="R93" s="20"/>
      <c r="S93" s="114"/>
      <c r="T93" s="114"/>
      <c r="U93" s="114"/>
    </row>
    <row r="94" spans="11:21" x14ac:dyDescent="0.25">
      <c r="K94" s="21" t="s">
        <v>82</v>
      </c>
      <c r="L94" s="32"/>
      <c r="M94" s="21" t="s">
        <v>292</v>
      </c>
      <c r="N94" s="32"/>
      <c r="O94" s="21" t="s">
        <v>293</v>
      </c>
      <c r="P94" s="32"/>
      <c r="Q94" s="35"/>
      <c r="R94" s="20"/>
      <c r="S94" s="114"/>
      <c r="T94" s="114" t="s">
        <v>799</v>
      </c>
      <c r="U94" s="114" t="s">
        <v>798</v>
      </c>
    </row>
    <row r="95" spans="11:21" x14ac:dyDescent="0.25">
      <c r="K95" s="20"/>
      <c r="L95" s="20"/>
      <c r="M95" s="20" t="s">
        <v>84</v>
      </c>
      <c r="N95" s="39"/>
      <c r="O95" s="39"/>
      <c r="P95" s="39"/>
      <c r="Q95" s="39"/>
      <c r="R95" s="20"/>
      <c r="S95" s="114"/>
      <c r="T95" s="114"/>
      <c r="U95" s="114"/>
    </row>
    <row r="96" spans="11:21" x14ac:dyDescent="0.25">
      <c r="K96" s="20"/>
      <c r="L96" s="20"/>
      <c r="M96" s="20" t="s">
        <v>158</v>
      </c>
      <c r="N96" s="20"/>
      <c r="O96" s="20"/>
      <c r="P96" s="20"/>
      <c r="Q96" s="20"/>
      <c r="R96" s="20"/>
      <c r="S96" s="114"/>
      <c r="T96" s="114"/>
      <c r="U96" s="114"/>
    </row>
    <row r="97" spans="11:21" x14ac:dyDescent="0.25">
      <c r="K97" s="20"/>
      <c r="L97" s="20"/>
      <c r="M97" s="20"/>
      <c r="N97" s="20"/>
      <c r="O97" s="20"/>
      <c r="P97" s="20"/>
      <c r="Q97" s="20"/>
      <c r="R97" s="20"/>
      <c r="S97" s="114"/>
      <c r="T97" s="114"/>
      <c r="U97" s="114"/>
    </row>
    <row r="98" spans="11:21" x14ac:dyDescent="0.25">
      <c r="K98" s="40" t="s">
        <v>83</v>
      </c>
      <c r="L98" s="20"/>
      <c r="M98" s="40"/>
      <c r="N98" s="310">
        <f>GWP!C15</f>
        <v>1.5714285714285714</v>
      </c>
      <c r="O98" s="32"/>
      <c r="P98" s="32"/>
      <c r="Q98" s="32"/>
      <c r="R98" s="32"/>
      <c r="S98" s="114"/>
      <c r="T98" s="114"/>
      <c r="U98" s="114"/>
    </row>
    <row r="99" spans="11:21" x14ac:dyDescent="0.25">
      <c r="K99" s="20"/>
      <c r="L99" s="20"/>
      <c r="M99" s="21"/>
      <c r="N99" s="20"/>
      <c r="O99" s="20"/>
      <c r="P99" s="20"/>
      <c r="Q99" s="20"/>
      <c r="R99" s="40"/>
      <c r="S99" s="73"/>
      <c r="T99" s="114"/>
      <c r="U99" s="114"/>
    </row>
    <row r="100" spans="11:21" x14ac:dyDescent="0.25">
      <c r="K100" s="40" t="s">
        <v>25</v>
      </c>
      <c r="L100" s="20"/>
      <c r="M100" s="21" t="s">
        <v>160</v>
      </c>
      <c r="N100" s="20"/>
      <c r="O100" s="20"/>
      <c r="P100" s="20"/>
      <c r="Q100" s="20"/>
      <c r="R100" s="40"/>
      <c r="S100" s="114"/>
      <c r="T100" s="114"/>
      <c r="U100" s="114"/>
    </row>
    <row r="101" spans="11:21" x14ac:dyDescent="0.25">
      <c r="K101" s="20"/>
      <c r="L101" s="20"/>
      <c r="M101" s="20"/>
      <c r="N101" s="20"/>
      <c r="O101" s="20"/>
      <c r="P101" s="20"/>
      <c r="Q101" s="20"/>
      <c r="R101" s="40"/>
      <c r="S101" s="114"/>
      <c r="T101" s="114"/>
      <c r="U101" s="114"/>
    </row>
    <row r="102" spans="11:21" x14ac:dyDescent="0.25">
      <c r="K102" s="40" t="s">
        <v>267</v>
      </c>
      <c r="L102" s="80" t="s">
        <v>107</v>
      </c>
      <c r="M102" s="313">
        <f>M69*$K$104*$N$98</f>
        <v>0</v>
      </c>
      <c r="N102" s="313">
        <f t="shared" ref="N102:Q102" si="30">N69*$K$104*$N$98</f>
        <v>0</v>
      </c>
      <c r="O102" s="313">
        <f t="shared" si="30"/>
        <v>0</v>
      </c>
      <c r="P102" s="313">
        <f t="shared" si="30"/>
        <v>0</v>
      </c>
      <c r="Q102" s="313">
        <f t="shared" si="30"/>
        <v>0</v>
      </c>
      <c r="R102" s="20" t="s">
        <v>161</v>
      </c>
      <c r="S102" s="114"/>
      <c r="T102" s="114" t="s">
        <v>773</v>
      </c>
      <c r="U102" s="114"/>
    </row>
    <row r="103" spans="11:21" x14ac:dyDescent="0.25">
      <c r="K103" s="286" t="s">
        <v>265</v>
      </c>
      <c r="L103" s="80" t="s">
        <v>108</v>
      </c>
      <c r="M103" s="313">
        <f t="shared" ref="M103:Q105" si="31">M70*$K$104*$N$98</f>
        <v>0</v>
      </c>
      <c r="N103" s="313">
        <f t="shared" si="31"/>
        <v>0</v>
      </c>
      <c r="O103" s="313">
        <f t="shared" si="31"/>
        <v>0</v>
      </c>
      <c r="P103" s="313">
        <f t="shared" si="31"/>
        <v>0</v>
      </c>
      <c r="Q103" s="313">
        <f t="shared" si="31"/>
        <v>0</v>
      </c>
      <c r="R103" s="20" t="s">
        <v>161</v>
      </c>
      <c r="S103" s="114"/>
      <c r="T103" s="114"/>
      <c r="U103" s="114"/>
    </row>
    <row r="104" spans="11:21" x14ac:dyDescent="0.25">
      <c r="K104" s="287">
        <v>0</v>
      </c>
      <c r="L104" s="80" t="s">
        <v>109</v>
      </c>
      <c r="M104" s="313">
        <f t="shared" si="31"/>
        <v>0</v>
      </c>
      <c r="N104" s="313">
        <f t="shared" si="31"/>
        <v>0</v>
      </c>
      <c r="O104" s="313">
        <f t="shared" si="31"/>
        <v>0</v>
      </c>
      <c r="P104" s="313">
        <f t="shared" si="31"/>
        <v>0</v>
      </c>
      <c r="Q104" s="313">
        <f t="shared" si="31"/>
        <v>0</v>
      </c>
      <c r="R104" s="20" t="s">
        <v>161</v>
      </c>
      <c r="S104" s="114"/>
      <c r="T104" s="114"/>
      <c r="U104" s="114"/>
    </row>
    <row r="105" spans="11:21" x14ac:dyDescent="0.25">
      <c r="K105" s="20"/>
      <c r="L105" s="80" t="s">
        <v>110</v>
      </c>
      <c r="M105" s="313">
        <f t="shared" si="31"/>
        <v>0</v>
      </c>
      <c r="N105" s="313">
        <f t="shared" si="31"/>
        <v>0</v>
      </c>
      <c r="O105" s="313">
        <f t="shared" si="31"/>
        <v>0</v>
      </c>
      <c r="P105" s="313">
        <f t="shared" si="31"/>
        <v>0</v>
      </c>
      <c r="Q105" s="313">
        <f t="shared" si="31"/>
        <v>0</v>
      </c>
      <c r="R105" s="20" t="s">
        <v>161</v>
      </c>
      <c r="S105" s="114"/>
      <c r="T105" s="114"/>
      <c r="U105" s="114"/>
    </row>
    <row r="106" spans="11:21" x14ac:dyDescent="0.25">
      <c r="K106" s="20"/>
      <c r="L106" s="20"/>
      <c r="M106" s="313"/>
      <c r="N106" s="313"/>
      <c r="O106" s="313"/>
      <c r="P106" s="313"/>
      <c r="Q106" s="313"/>
      <c r="R106" s="20"/>
      <c r="S106" s="114"/>
      <c r="T106" s="114"/>
      <c r="U106" s="114"/>
    </row>
    <row r="107" spans="11:21" x14ac:dyDescent="0.25">
      <c r="K107" s="40" t="s">
        <v>268</v>
      </c>
      <c r="L107" s="80" t="s">
        <v>107</v>
      </c>
      <c r="M107" s="313">
        <f>M74*$K$109*$N$98</f>
        <v>0</v>
      </c>
      <c r="N107" s="313">
        <f t="shared" ref="N107:Q107" si="32">N74*$K$109*$N$98</f>
        <v>0</v>
      </c>
      <c r="O107" s="313">
        <f t="shared" si="32"/>
        <v>0</v>
      </c>
      <c r="P107" s="313">
        <f t="shared" si="32"/>
        <v>0</v>
      </c>
      <c r="Q107" s="313">
        <f t="shared" si="32"/>
        <v>0</v>
      </c>
      <c r="R107" s="20" t="s">
        <v>161</v>
      </c>
      <c r="S107" s="114"/>
      <c r="T107" s="114"/>
      <c r="U107" s="114"/>
    </row>
    <row r="108" spans="11:21" x14ac:dyDescent="0.25">
      <c r="K108" s="286" t="s">
        <v>265</v>
      </c>
      <c r="L108" s="80" t="s">
        <v>108</v>
      </c>
      <c r="M108" s="313">
        <f t="shared" ref="M108:Q110" si="33">M75*$K$109*$N$98</f>
        <v>0</v>
      </c>
      <c r="N108" s="313">
        <f t="shared" si="33"/>
        <v>0</v>
      </c>
      <c r="O108" s="313">
        <f t="shared" si="33"/>
        <v>0</v>
      </c>
      <c r="P108" s="313">
        <f t="shared" si="33"/>
        <v>0</v>
      </c>
      <c r="Q108" s="313">
        <f t="shared" si="33"/>
        <v>0</v>
      </c>
      <c r="R108" s="20" t="s">
        <v>161</v>
      </c>
      <c r="S108" s="114"/>
      <c r="T108" s="114"/>
      <c r="U108" s="114"/>
    </row>
    <row r="109" spans="11:21" x14ac:dyDescent="0.25">
      <c r="K109" s="287">
        <v>0</v>
      </c>
      <c r="L109" s="80" t="s">
        <v>109</v>
      </c>
      <c r="M109" s="313">
        <f t="shared" si="33"/>
        <v>0</v>
      </c>
      <c r="N109" s="313">
        <f t="shared" si="33"/>
        <v>0</v>
      </c>
      <c r="O109" s="313">
        <f t="shared" si="33"/>
        <v>0</v>
      </c>
      <c r="P109" s="313">
        <f t="shared" si="33"/>
        <v>0</v>
      </c>
      <c r="Q109" s="313">
        <f t="shared" si="33"/>
        <v>0</v>
      </c>
      <c r="R109" s="20" t="s">
        <v>161</v>
      </c>
      <c r="S109" s="114"/>
      <c r="T109" s="114"/>
      <c r="U109" s="114"/>
    </row>
    <row r="110" spans="11:21" x14ac:dyDescent="0.25">
      <c r="K110" s="20"/>
      <c r="L110" s="80" t="s">
        <v>110</v>
      </c>
      <c r="M110" s="313">
        <f t="shared" si="33"/>
        <v>0</v>
      </c>
      <c r="N110" s="313">
        <f t="shared" si="33"/>
        <v>0</v>
      </c>
      <c r="O110" s="313">
        <f t="shared" si="33"/>
        <v>0</v>
      </c>
      <c r="P110" s="313">
        <f t="shared" si="33"/>
        <v>0</v>
      </c>
      <c r="Q110" s="313">
        <f t="shared" si="33"/>
        <v>0</v>
      </c>
      <c r="R110" s="20" t="s">
        <v>161</v>
      </c>
      <c r="S110" s="114"/>
      <c r="T110" s="114"/>
      <c r="U110" s="114"/>
    </row>
    <row r="111" spans="11:21" x14ac:dyDescent="0.25">
      <c r="K111" s="20"/>
      <c r="L111" s="20"/>
      <c r="M111" s="313"/>
      <c r="N111" s="313"/>
      <c r="O111" s="313"/>
      <c r="P111" s="313"/>
      <c r="Q111" s="313"/>
      <c r="R111" s="20"/>
      <c r="S111" s="114"/>
      <c r="T111" s="114"/>
      <c r="U111" s="114"/>
    </row>
    <row r="112" spans="11:21" x14ac:dyDescent="0.25">
      <c r="K112" s="40" t="s">
        <v>269</v>
      </c>
      <c r="L112" s="80" t="s">
        <v>107</v>
      </c>
      <c r="M112" s="313">
        <f>M79*$K$114*$N$98</f>
        <v>0</v>
      </c>
      <c r="N112" s="313">
        <f t="shared" ref="N112:Q112" si="34">N79*$K$114*$N$98</f>
        <v>0</v>
      </c>
      <c r="O112" s="313">
        <f t="shared" si="34"/>
        <v>0</v>
      </c>
      <c r="P112" s="313">
        <f t="shared" si="34"/>
        <v>0</v>
      </c>
      <c r="Q112" s="313">
        <f t="shared" si="34"/>
        <v>0</v>
      </c>
      <c r="R112" s="20" t="s">
        <v>161</v>
      </c>
      <c r="S112" s="114"/>
      <c r="T112" s="114"/>
      <c r="U112" s="114"/>
    </row>
    <row r="113" spans="11:21" x14ac:dyDescent="0.25">
      <c r="K113" s="286" t="s">
        <v>265</v>
      </c>
      <c r="L113" s="80" t="s">
        <v>108</v>
      </c>
      <c r="M113" s="313">
        <f t="shared" ref="M113:Q115" si="35">M80*$K$114*$N$98</f>
        <v>0</v>
      </c>
      <c r="N113" s="313">
        <f t="shared" si="35"/>
        <v>0</v>
      </c>
      <c r="O113" s="313">
        <f t="shared" si="35"/>
        <v>0</v>
      </c>
      <c r="P113" s="313">
        <f t="shared" si="35"/>
        <v>0</v>
      </c>
      <c r="Q113" s="313">
        <f t="shared" si="35"/>
        <v>0</v>
      </c>
      <c r="R113" s="20" t="s">
        <v>161</v>
      </c>
      <c r="S113" s="114"/>
      <c r="T113" s="114"/>
      <c r="U113" s="114"/>
    </row>
    <row r="114" spans="11:21" x14ac:dyDescent="0.25">
      <c r="K114" s="287">
        <v>0</v>
      </c>
      <c r="L114" s="80" t="s">
        <v>109</v>
      </c>
      <c r="M114" s="313">
        <f t="shared" si="35"/>
        <v>0</v>
      </c>
      <c r="N114" s="313">
        <f t="shared" si="35"/>
        <v>0</v>
      </c>
      <c r="O114" s="313">
        <f t="shared" si="35"/>
        <v>0</v>
      </c>
      <c r="P114" s="313">
        <f t="shared" si="35"/>
        <v>0</v>
      </c>
      <c r="Q114" s="313">
        <f t="shared" si="35"/>
        <v>0</v>
      </c>
      <c r="R114" s="20" t="s">
        <v>161</v>
      </c>
      <c r="S114" s="114"/>
      <c r="T114" s="114"/>
      <c r="U114" s="114"/>
    </row>
    <row r="115" spans="11:21" x14ac:dyDescent="0.25">
      <c r="K115" s="20"/>
      <c r="L115" s="80" t="s">
        <v>110</v>
      </c>
      <c r="M115" s="313">
        <f t="shared" si="35"/>
        <v>0</v>
      </c>
      <c r="N115" s="313">
        <f t="shared" si="35"/>
        <v>0</v>
      </c>
      <c r="O115" s="313">
        <f t="shared" si="35"/>
        <v>0</v>
      </c>
      <c r="P115" s="313">
        <f t="shared" si="35"/>
        <v>0</v>
      </c>
      <c r="Q115" s="313">
        <f t="shared" si="35"/>
        <v>0</v>
      </c>
      <c r="R115" s="20" t="s">
        <v>161</v>
      </c>
      <c r="S115" s="114"/>
      <c r="T115" s="114"/>
      <c r="U115" s="114"/>
    </row>
    <row r="116" spans="11:21" x14ac:dyDescent="0.25">
      <c r="K116" s="20"/>
      <c r="L116" s="80"/>
      <c r="M116" s="313"/>
      <c r="N116" s="313"/>
      <c r="O116" s="313"/>
      <c r="P116" s="313"/>
      <c r="Q116" s="313"/>
      <c r="R116" s="20"/>
      <c r="S116" s="114"/>
      <c r="T116" s="114"/>
      <c r="U116" s="114"/>
    </row>
    <row r="117" spans="11:21" x14ac:dyDescent="0.25">
      <c r="K117" s="40" t="s">
        <v>270</v>
      </c>
      <c r="L117" s="80" t="s">
        <v>107</v>
      </c>
      <c r="M117" s="313">
        <f>M84*$K$119*$N$98</f>
        <v>0</v>
      </c>
      <c r="N117" s="313">
        <f t="shared" ref="N117:Q117" si="36">N84*$K$119*$N$98</f>
        <v>0</v>
      </c>
      <c r="O117" s="313">
        <f t="shared" si="36"/>
        <v>0</v>
      </c>
      <c r="P117" s="313">
        <f t="shared" si="36"/>
        <v>0</v>
      </c>
      <c r="Q117" s="313">
        <f t="shared" si="36"/>
        <v>0</v>
      </c>
      <c r="R117" s="20" t="s">
        <v>161</v>
      </c>
      <c r="S117" s="114"/>
      <c r="T117" s="114"/>
      <c r="U117" s="114"/>
    </row>
    <row r="118" spans="11:21" x14ac:dyDescent="0.25">
      <c r="K118" s="286" t="s">
        <v>265</v>
      </c>
      <c r="L118" s="80" t="s">
        <v>108</v>
      </c>
      <c r="M118" s="313">
        <f t="shared" ref="M118:Q120" si="37">M85*$K$119*$N$98</f>
        <v>0</v>
      </c>
      <c r="N118" s="313">
        <f t="shared" si="37"/>
        <v>0</v>
      </c>
      <c r="O118" s="313">
        <f t="shared" si="37"/>
        <v>0</v>
      </c>
      <c r="P118" s="313">
        <f t="shared" si="37"/>
        <v>0</v>
      </c>
      <c r="Q118" s="313">
        <f t="shared" si="37"/>
        <v>0</v>
      </c>
      <c r="R118" s="20" t="s">
        <v>161</v>
      </c>
      <c r="S118" s="114"/>
      <c r="T118" s="114"/>
      <c r="U118" s="114"/>
    </row>
    <row r="119" spans="11:21" x14ac:dyDescent="0.25">
      <c r="K119" s="287">
        <v>0</v>
      </c>
      <c r="L119" s="80" t="s">
        <v>109</v>
      </c>
      <c r="M119" s="313">
        <f t="shared" si="37"/>
        <v>0</v>
      </c>
      <c r="N119" s="313">
        <f t="shared" si="37"/>
        <v>0</v>
      </c>
      <c r="O119" s="313">
        <f t="shared" si="37"/>
        <v>0</v>
      </c>
      <c r="P119" s="313">
        <f t="shared" si="37"/>
        <v>0</v>
      </c>
      <c r="Q119" s="313">
        <f t="shared" si="37"/>
        <v>0</v>
      </c>
      <c r="R119" s="20" t="s">
        <v>161</v>
      </c>
      <c r="S119" s="114"/>
      <c r="T119" s="114"/>
      <c r="U119" s="114"/>
    </row>
    <row r="120" spans="11:21" x14ac:dyDescent="0.25">
      <c r="K120" s="20"/>
      <c r="L120" s="80" t="s">
        <v>110</v>
      </c>
      <c r="M120" s="313">
        <f t="shared" si="37"/>
        <v>0</v>
      </c>
      <c r="N120" s="313">
        <f t="shared" si="37"/>
        <v>0</v>
      </c>
      <c r="O120" s="313">
        <f t="shared" si="37"/>
        <v>0</v>
      </c>
      <c r="P120" s="313">
        <f t="shared" si="37"/>
        <v>0</v>
      </c>
      <c r="Q120" s="313">
        <f t="shared" si="37"/>
        <v>0</v>
      </c>
      <c r="R120" s="20" t="s">
        <v>161</v>
      </c>
      <c r="S120" s="114"/>
      <c r="T120" s="114"/>
      <c r="U120" s="114"/>
    </row>
    <row r="121" spans="11:21" x14ac:dyDescent="0.25">
      <c r="K121" s="20"/>
      <c r="L121" s="80"/>
      <c r="M121" s="313"/>
      <c r="N121" s="313"/>
      <c r="O121" s="313"/>
      <c r="P121" s="313"/>
      <c r="Q121" s="313"/>
      <c r="R121" s="20"/>
      <c r="S121" s="114"/>
      <c r="T121" s="114"/>
      <c r="U121" s="114"/>
    </row>
    <row r="122" spans="11:21" x14ac:dyDescent="0.25">
      <c r="K122" s="40" t="s">
        <v>271</v>
      </c>
      <c r="L122" s="80" t="s">
        <v>107</v>
      </c>
      <c r="M122" s="313">
        <f>M89*$K$124*$N$98</f>
        <v>2.6262755448591425E-6</v>
      </c>
      <c r="N122" s="313">
        <f t="shared" ref="N122:Q122" si="38">N89*$K$124*$N$98</f>
        <v>0</v>
      </c>
      <c r="O122" s="313">
        <f>O89*$K$124*$N$98</f>
        <v>0</v>
      </c>
      <c r="P122" s="313">
        <f t="shared" si="38"/>
        <v>0</v>
      </c>
      <c r="Q122" s="313">
        <f t="shared" si="38"/>
        <v>0</v>
      </c>
      <c r="R122" s="20" t="s">
        <v>161</v>
      </c>
      <c r="S122" s="114"/>
      <c r="T122" s="114"/>
      <c r="U122" s="114"/>
    </row>
    <row r="123" spans="11:21" x14ac:dyDescent="0.25">
      <c r="K123" s="286" t="s">
        <v>265</v>
      </c>
      <c r="L123" s="80" t="s">
        <v>108</v>
      </c>
      <c r="M123" s="313">
        <f t="shared" ref="M123:Q125" si="39">M90*$K$124*$N$98</f>
        <v>2.6262755448591425E-6</v>
      </c>
      <c r="N123" s="313">
        <f t="shared" si="39"/>
        <v>0</v>
      </c>
      <c r="O123" s="313">
        <f t="shared" si="39"/>
        <v>0</v>
      </c>
      <c r="P123" s="313">
        <f t="shared" si="39"/>
        <v>0</v>
      </c>
      <c r="Q123" s="313">
        <f t="shared" si="39"/>
        <v>0</v>
      </c>
      <c r="R123" s="20" t="s">
        <v>161</v>
      </c>
      <c r="S123" s="114"/>
      <c r="T123" s="114"/>
      <c r="U123" s="114"/>
    </row>
    <row r="124" spans="11:21" x14ac:dyDescent="0.25">
      <c r="K124" s="288">
        <v>5.0000000000000001E-3</v>
      </c>
      <c r="L124" s="80" t="s">
        <v>109</v>
      </c>
      <c r="M124" s="313">
        <f t="shared" si="39"/>
        <v>2.6262755448591425E-6</v>
      </c>
      <c r="N124" s="313">
        <f t="shared" si="39"/>
        <v>0</v>
      </c>
      <c r="O124" s="313">
        <f t="shared" si="39"/>
        <v>0</v>
      </c>
      <c r="P124" s="313">
        <f t="shared" si="39"/>
        <v>0</v>
      </c>
      <c r="Q124" s="313">
        <f t="shared" si="39"/>
        <v>0</v>
      </c>
      <c r="R124" s="20" t="s">
        <v>161</v>
      </c>
      <c r="S124" s="114"/>
      <c r="T124" s="114"/>
      <c r="U124" s="114"/>
    </row>
    <row r="125" spans="11:21" x14ac:dyDescent="0.25">
      <c r="K125" s="20"/>
      <c r="L125" s="80" t="s">
        <v>110</v>
      </c>
      <c r="M125" s="313">
        <f t="shared" si="39"/>
        <v>2.6262755448591425E-6</v>
      </c>
      <c r="N125" s="313">
        <f t="shared" si="39"/>
        <v>0</v>
      </c>
      <c r="O125" s="313">
        <f t="shared" si="39"/>
        <v>0</v>
      </c>
      <c r="P125" s="313">
        <f t="shared" si="39"/>
        <v>0</v>
      </c>
      <c r="Q125" s="313">
        <f t="shared" si="39"/>
        <v>0</v>
      </c>
      <c r="R125" s="20" t="s">
        <v>161</v>
      </c>
      <c r="S125" s="114"/>
      <c r="T125" s="114"/>
      <c r="U125" s="114"/>
    </row>
    <row r="126" spans="11:21" x14ac:dyDescent="0.25">
      <c r="K126" s="20"/>
      <c r="L126" s="20"/>
      <c r="M126" s="313"/>
      <c r="N126" s="313"/>
      <c r="O126" s="313"/>
      <c r="P126" s="313"/>
      <c r="Q126" s="313"/>
      <c r="R126" s="20"/>
      <c r="S126" s="114"/>
      <c r="T126" s="114"/>
      <c r="U126" s="114"/>
    </row>
    <row r="127" spans="11:21" x14ac:dyDescent="0.25">
      <c r="K127" s="21" t="s">
        <v>159</v>
      </c>
      <c r="L127" s="80" t="s">
        <v>107</v>
      </c>
      <c r="M127" s="313">
        <f>SUM(M102,M107,M112,M117,M122)</f>
        <v>2.6262755448591425E-6</v>
      </c>
      <c r="N127" s="313">
        <f t="shared" ref="N127:Q127" si="40">SUM(N102,N107,N112,N117,N122)</f>
        <v>0</v>
      </c>
      <c r="O127" s="313">
        <f t="shared" si="40"/>
        <v>0</v>
      </c>
      <c r="P127" s="313">
        <f t="shared" si="40"/>
        <v>0</v>
      </c>
      <c r="Q127" s="313">
        <f t="shared" si="40"/>
        <v>0</v>
      </c>
      <c r="R127" s="20" t="s">
        <v>161</v>
      </c>
      <c r="S127" s="114"/>
      <c r="T127" s="114"/>
      <c r="U127" s="114"/>
    </row>
    <row r="128" spans="11:21" x14ac:dyDescent="0.25">
      <c r="K128" s="20"/>
      <c r="L128" s="80" t="s">
        <v>108</v>
      </c>
      <c r="M128" s="313">
        <f t="shared" ref="M128:Q130" si="41">SUM(M103,M108,M113,M118,M123)</f>
        <v>2.6262755448591425E-6</v>
      </c>
      <c r="N128" s="313">
        <f t="shared" si="41"/>
        <v>0</v>
      </c>
      <c r="O128" s="313">
        <f t="shared" si="41"/>
        <v>0</v>
      </c>
      <c r="P128" s="313">
        <f t="shared" si="41"/>
        <v>0</v>
      </c>
      <c r="Q128" s="313">
        <f t="shared" si="41"/>
        <v>0</v>
      </c>
      <c r="R128" s="20" t="s">
        <v>161</v>
      </c>
      <c r="S128" s="114"/>
      <c r="T128" s="114"/>
      <c r="U128" s="114"/>
    </row>
    <row r="129" spans="11:21" x14ac:dyDescent="0.25">
      <c r="K129" s="20"/>
      <c r="L129" s="80" t="s">
        <v>109</v>
      </c>
      <c r="M129" s="313">
        <f t="shared" si="41"/>
        <v>2.6262755448591425E-6</v>
      </c>
      <c r="N129" s="313">
        <f t="shared" si="41"/>
        <v>0</v>
      </c>
      <c r="O129" s="313">
        <f t="shared" si="41"/>
        <v>0</v>
      </c>
      <c r="P129" s="313">
        <f t="shared" si="41"/>
        <v>0</v>
      </c>
      <c r="Q129" s="313">
        <f t="shared" si="41"/>
        <v>0</v>
      </c>
      <c r="R129" s="20" t="s">
        <v>161</v>
      </c>
      <c r="S129" s="114"/>
      <c r="T129" s="114"/>
      <c r="U129" s="114"/>
    </row>
    <row r="130" spans="11:21" x14ac:dyDescent="0.25">
      <c r="K130" s="20"/>
      <c r="L130" s="80" t="s">
        <v>110</v>
      </c>
      <c r="M130" s="313">
        <f t="shared" si="41"/>
        <v>2.6262755448591425E-6</v>
      </c>
      <c r="N130" s="313">
        <f t="shared" si="41"/>
        <v>0</v>
      </c>
      <c r="O130" s="313">
        <f t="shared" si="41"/>
        <v>0</v>
      </c>
      <c r="P130" s="313">
        <f t="shared" si="41"/>
        <v>0</v>
      </c>
      <c r="Q130" s="313">
        <f t="shared" si="41"/>
        <v>0</v>
      </c>
      <c r="R130" s="20" t="s">
        <v>161</v>
      </c>
      <c r="S130" s="114"/>
      <c r="T130" s="114"/>
      <c r="U130" s="114"/>
    </row>
    <row r="131" spans="11:21" x14ac:dyDescent="0.25">
      <c r="K131" s="20"/>
      <c r="L131" s="20"/>
      <c r="M131" s="313"/>
      <c r="N131" s="313"/>
      <c r="O131" s="313"/>
      <c r="P131" s="313"/>
      <c r="Q131" s="313"/>
      <c r="R131" s="20"/>
      <c r="S131" s="114"/>
      <c r="T131" s="114"/>
      <c r="U131" s="114"/>
    </row>
    <row r="132" spans="11:21" x14ac:dyDescent="0.25">
      <c r="K132" s="20" t="s">
        <v>6</v>
      </c>
      <c r="L132" s="33">
        <f>SUM(M127:Q130)</f>
        <v>1.050510217943657E-5</v>
      </c>
      <c r="M132" s="20"/>
      <c r="N132" s="20"/>
      <c r="O132" s="20"/>
      <c r="P132" s="20"/>
      <c r="Q132" s="20"/>
      <c r="R132" s="39" t="s">
        <v>154</v>
      </c>
      <c r="S132" s="114"/>
      <c r="T132" s="114"/>
      <c r="U132" s="114"/>
    </row>
    <row r="133" spans="11:21" x14ac:dyDescent="0.25">
      <c r="K133" s="20" t="s">
        <v>6</v>
      </c>
      <c r="L133" s="33">
        <f>L132*GWP!C6</f>
        <v>3.1305204494720979E-3</v>
      </c>
      <c r="M133" s="20"/>
      <c r="N133" s="20"/>
      <c r="O133" s="20"/>
      <c r="P133" s="20"/>
      <c r="Q133" s="20"/>
      <c r="R133" s="20" t="s">
        <v>70</v>
      </c>
      <c r="S133" s="270"/>
      <c r="T133" s="114"/>
      <c r="U133" s="114"/>
    </row>
    <row r="134" spans="11:21" x14ac:dyDescent="0.25">
      <c r="K134" s="109" t="s">
        <v>482</v>
      </c>
      <c r="L134" s="316">
        <f>L133*10^3</f>
        <v>3.130520449472098</v>
      </c>
      <c r="M134" s="109"/>
      <c r="N134" s="109"/>
      <c r="O134" s="109"/>
      <c r="P134" s="109"/>
      <c r="Q134" s="109"/>
      <c r="R134" s="109" t="s">
        <v>119</v>
      </c>
      <c r="S134" s="136"/>
      <c r="T134" s="136"/>
      <c r="U134" s="136"/>
    </row>
    <row r="135" spans="11:21" ht="20.25" x14ac:dyDescent="0.3">
      <c r="K135" s="513" t="s">
        <v>774</v>
      </c>
      <c r="L135" s="510"/>
      <c r="M135" s="40"/>
      <c r="N135" s="40"/>
      <c r="O135" s="40"/>
      <c r="P135" s="40"/>
      <c r="Q135" s="40"/>
      <c r="R135" s="40"/>
      <c r="S135" s="270"/>
      <c r="T135" s="270"/>
      <c r="U135" s="270"/>
    </row>
    <row r="136" spans="11:21" x14ac:dyDescent="0.25">
      <c r="K136" s="40"/>
      <c r="L136" s="510"/>
      <c r="M136" s="40"/>
      <c r="N136" s="40"/>
      <c r="O136" s="40"/>
      <c r="P136" s="40"/>
      <c r="Q136" s="40"/>
      <c r="R136" s="40"/>
      <c r="S136" s="270"/>
      <c r="T136" s="270"/>
      <c r="U136" s="270"/>
    </row>
    <row r="137" spans="11:21" x14ac:dyDescent="0.25">
      <c r="K137" s="40" t="s">
        <v>286</v>
      </c>
      <c r="L137" s="20"/>
      <c r="M137" s="32"/>
      <c r="N137" s="32"/>
      <c r="O137" s="32"/>
      <c r="P137" s="32"/>
      <c r="Q137" s="32"/>
      <c r="R137" s="20"/>
      <c r="S137" s="114"/>
      <c r="T137" s="114"/>
      <c r="U137" s="114"/>
    </row>
    <row r="138" spans="11:21" x14ac:dyDescent="0.25">
      <c r="K138" s="32"/>
      <c r="L138" s="20"/>
      <c r="M138" s="32"/>
      <c r="N138" s="32"/>
      <c r="O138" s="32"/>
      <c r="P138" s="32"/>
      <c r="Q138" s="32"/>
      <c r="R138" s="20"/>
      <c r="S138" s="114"/>
      <c r="T138" s="114"/>
      <c r="U138" s="114"/>
    </row>
    <row r="139" spans="11:21" x14ac:dyDescent="0.25">
      <c r="K139" s="32"/>
      <c r="L139" s="21" t="s">
        <v>287</v>
      </c>
      <c r="M139" s="32"/>
      <c r="N139" s="32"/>
      <c r="O139" s="32"/>
      <c r="P139" s="32"/>
      <c r="Q139" s="32"/>
      <c r="R139" s="20"/>
      <c r="S139" s="114"/>
      <c r="T139" s="114" t="s">
        <v>288</v>
      </c>
      <c r="U139" s="114" t="s">
        <v>413</v>
      </c>
    </row>
    <row r="140" spans="11:21" x14ac:dyDescent="0.25">
      <c r="K140" s="32"/>
      <c r="L140" s="20"/>
      <c r="M140" s="32"/>
      <c r="N140" s="32"/>
      <c r="O140" s="32"/>
      <c r="P140" s="32"/>
      <c r="Q140" s="32"/>
      <c r="R140" s="20"/>
      <c r="S140" s="114"/>
      <c r="T140" s="114"/>
      <c r="U140" s="114"/>
    </row>
    <row r="141" spans="11:21" x14ac:dyDescent="0.25">
      <c r="K141" s="32" t="s">
        <v>25</v>
      </c>
      <c r="L141" s="20"/>
      <c r="M141" s="32" t="s">
        <v>160</v>
      </c>
      <c r="N141" s="32"/>
      <c r="O141" s="32"/>
      <c r="P141" s="32"/>
      <c r="Q141" s="32"/>
      <c r="R141" s="20"/>
      <c r="S141" s="114"/>
      <c r="T141" s="114" t="s">
        <v>773</v>
      </c>
      <c r="U141" s="114" t="s">
        <v>413</v>
      </c>
    </row>
    <row r="142" spans="11:21" x14ac:dyDescent="0.25">
      <c r="K142" s="20"/>
      <c r="L142" s="20"/>
      <c r="M142" s="32"/>
      <c r="N142" s="32"/>
      <c r="O142" s="32"/>
      <c r="P142" s="32"/>
      <c r="Q142" s="32"/>
      <c r="R142" s="20"/>
      <c r="S142" s="114"/>
      <c r="T142" s="114"/>
      <c r="U142" s="114"/>
    </row>
    <row r="143" spans="11:21" x14ac:dyDescent="0.25">
      <c r="K143" s="32" t="s">
        <v>267</v>
      </c>
      <c r="L143" s="20" t="s">
        <v>107</v>
      </c>
      <c r="M143" s="312">
        <f t="shared" ref="M143:Q146" si="42">M69*$K$145</f>
        <v>0</v>
      </c>
      <c r="N143" s="312">
        <f t="shared" si="42"/>
        <v>0</v>
      </c>
      <c r="O143" s="312">
        <f t="shared" si="42"/>
        <v>0</v>
      </c>
      <c r="P143" s="312">
        <f t="shared" si="42"/>
        <v>0</v>
      </c>
      <c r="Q143" s="312">
        <f t="shared" si="42"/>
        <v>0</v>
      </c>
      <c r="R143" s="20" t="s">
        <v>141</v>
      </c>
      <c r="S143" s="114"/>
      <c r="T143" s="114"/>
      <c r="U143" s="114"/>
    </row>
    <row r="144" spans="11:21" x14ac:dyDescent="0.25">
      <c r="K144" s="32" t="s">
        <v>285</v>
      </c>
      <c r="L144" s="20" t="s">
        <v>108</v>
      </c>
      <c r="M144" s="312">
        <f t="shared" si="42"/>
        <v>0</v>
      </c>
      <c r="N144" s="312">
        <f t="shared" si="42"/>
        <v>0</v>
      </c>
      <c r="O144" s="312">
        <f t="shared" si="42"/>
        <v>0</v>
      </c>
      <c r="P144" s="312">
        <f t="shared" si="42"/>
        <v>0</v>
      </c>
      <c r="Q144" s="312">
        <f t="shared" si="42"/>
        <v>0</v>
      </c>
      <c r="R144" s="20" t="s">
        <v>141</v>
      </c>
      <c r="S144" s="114"/>
      <c r="T144" s="114"/>
      <c r="U144" s="114"/>
    </row>
    <row r="145" spans="11:21" x14ac:dyDescent="0.25">
      <c r="K145" s="311">
        <v>0</v>
      </c>
      <c r="L145" s="20" t="s">
        <v>109</v>
      </c>
      <c r="M145" s="312">
        <f t="shared" si="42"/>
        <v>0</v>
      </c>
      <c r="N145" s="312">
        <f t="shared" si="42"/>
        <v>0</v>
      </c>
      <c r="O145" s="312">
        <f t="shared" si="42"/>
        <v>0</v>
      </c>
      <c r="P145" s="312">
        <f t="shared" si="42"/>
        <v>0</v>
      </c>
      <c r="Q145" s="312">
        <f t="shared" si="42"/>
        <v>0</v>
      </c>
      <c r="R145" s="20" t="s">
        <v>141</v>
      </c>
      <c r="S145" s="114"/>
      <c r="T145" s="114"/>
      <c r="U145" s="114"/>
    </row>
    <row r="146" spans="11:21" x14ac:dyDescent="0.25">
      <c r="K146" s="32"/>
      <c r="L146" s="20" t="s">
        <v>110</v>
      </c>
      <c r="M146" s="312">
        <f t="shared" si="42"/>
        <v>0</v>
      </c>
      <c r="N146" s="312">
        <f t="shared" si="42"/>
        <v>0</v>
      </c>
      <c r="O146" s="312">
        <f t="shared" si="42"/>
        <v>0</v>
      </c>
      <c r="P146" s="312">
        <f t="shared" si="42"/>
        <v>0</v>
      </c>
      <c r="Q146" s="312">
        <f t="shared" si="42"/>
        <v>0</v>
      </c>
      <c r="R146" s="20" t="s">
        <v>141</v>
      </c>
      <c r="S146" s="114"/>
      <c r="T146" s="114"/>
      <c r="U146" s="114"/>
    </row>
    <row r="147" spans="11:21" x14ac:dyDescent="0.25">
      <c r="K147" s="311"/>
      <c r="L147" s="20"/>
      <c r="M147" s="312"/>
      <c r="N147" s="312"/>
      <c r="O147" s="312"/>
      <c r="P147" s="312"/>
      <c r="Q147" s="312"/>
      <c r="R147" s="20"/>
      <c r="S147" s="114"/>
      <c r="T147" s="114"/>
      <c r="U147" s="114"/>
    </row>
    <row r="148" spans="11:21" x14ac:dyDescent="0.25">
      <c r="K148" s="32" t="s">
        <v>268</v>
      </c>
      <c r="L148" s="20" t="s">
        <v>107</v>
      </c>
      <c r="M148" s="312">
        <f t="shared" ref="M148:Q151" si="43">M74*$K$150</f>
        <v>5.5165373972577102E-4</v>
      </c>
      <c r="N148" s="312">
        <f t="shared" si="43"/>
        <v>0</v>
      </c>
      <c r="O148" s="312">
        <f t="shared" si="43"/>
        <v>0</v>
      </c>
      <c r="P148" s="312">
        <f t="shared" si="43"/>
        <v>0</v>
      </c>
      <c r="Q148" s="312">
        <f t="shared" si="43"/>
        <v>0</v>
      </c>
      <c r="R148" s="20" t="s">
        <v>141</v>
      </c>
      <c r="S148" s="114"/>
      <c r="T148" s="114"/>
      <c r="U148" s="114"/>
    </row>
    <row r="149" spans="11:21" x14ac:dyDescent="0.25">
      <c r="K149" s="32" t="s">
        <v>285</v>
      </c>
      <c r="L149" s="20" t="s">
        <v>108</v>
      </c>
      <c r="M149" s="312">
        <f t="shared" si="43"/>
        <v>5.5165373972577102E-4</v>
      </c>
      <c r="N149" s="312">
        <f t="shared" si="43"/>
        <v>0</v>
      </c>
      <c r="O149" s="312">
        <f t="shared" si="43"/>
        <v>0</v>
      </c>
      <c r="P149" s="312">
        <f t="shared" si="43"/>
        <v>0</v>
      </c>
      <c r="Q149" s="312">
        <f t="shared" si="43"/>
        <v>0</v>
      </c>
      <c r="R149" s="20" t="s">
        <v>141</v>
      </c>
      <c r="S149" s="114"/>
      <c r="T149" s="114"/>
      <c r="U149" s="114"/>
    </row>
    <row r="150" spans="11:21" x14ac:dyDescent="0.25">
      <c r="K150" s="311">
        <v>0.35</v>
      </c>
      <c r="L150" s="20" t="s">
        <v>109</v>
      </c>
      <c r="M150" s="312">
        <f t="shared" si="43"/>
        <v>5.5165373972577102E-4</v>
      </c>
      <c r="N150" s="312">
        <f t="shared" si="43"/>
        <v>0</v>
      </c>
      <c r="O150" s="312">
        <f t="shared" si="43"/>
        <v>0</v>
      </c>
      <c r="P150" s="312">
        <f t="shared" si="43"/>
        <v>0</v>
      </c>
      <c r="Q150" s="312">
        <f t="shared" si="43"/>
        <v>0</v>
      </c>
      <c r="R150" s="20" t="s">
        <v>141</v>
      </c>
      <c r="S150" s="114"/>
      <c r="T150" s="114"/>
      <c r="U150" s="114"/>
    </row>
    <row r="151" spans="11:21" x14ac:dyDescent="0.25">
      <c r="K151" s="32"/>
      <c r="L151" s="20" t="s">
        <v>110</v>
      </c>
      <c r="M151" s="312">
        <f t="shared" si="43"/>
        <v>5.5165373972577102E-4</v>
      </c>
      <c r="N151" s="312">
        <f t="shared" si="43"/>
        <v>0</v>
      </c>
      <c r="O151" s="312">
        <f t="shared" si="43"/>
        <v>0</v>
      </c>
      <c r="P151" s="312">
        <f t="shared" si="43"/>
        <v>0</v>
      </c>
      <c r="Q151" s="312">
        <f t="shared" si="43"/>
        <v>0</v>
      </c>
      <c r="R151" s="20" t="s">
        <v>141</v>
      </c>
      <c r="S151" s="114"/>
      <c r="T151" s="114"/>
      <c r="U151" s="114"/>
    </row>
    <row r="152" spans="11:21" x14ac:dyDescent="0.25">
      <c r="K152" s="311"/>
      <c r="L152" s="20"/>
      <c r="M152" s="588"/>
      <c r="N152" s="312"/>
      <c r="O152" s="312"/>
      <c r="P152" s="312"/>
      <c r="Q152" s="312"/>
      <c r="R152" s="20"/>
      <c r="S152" s="114"/>
      <c r="T152" s="114"/>
      <c r="U152" s="114"/>
    </row>
    <row r="153" spans="11:21" x14ac:dyDescent="0.25">
      <c r="K153" s="32" t="s">
        <v>269</v>
      </c>
      <c r="L153" s="20" t="s">
        <v>107</v>
      </c>
      <c r="M153" s="312">
        <f t="shared" ref="M153:Q156" si="44">M79*$K$155</f>
        <v>1.046239851204049E-5</v>
      </c>
      <c r="N153" s="312">
        <f t="shared" si="44"/>
        <v>0</v>
      </c>
      <c r="O153" s="312">
        <f t="shared" si="44"/>
        <v>0</v>
      </c>
      <c r="P153" s="312">
        <f t="shared" si="44"/>
        <v>0</v>
      </c>
      <c r="Q153" s="312">
        <f t="shared" si="44"/>
        <v>0</v>
      </c>
      <c r="R153" s="20" t="s">
        <v>141</v>
      </c>
      <c r="S153" s="114"/>
      <c r="T153" s="114"/>
      <c r="U153" s="114"/>
    </row>
    <row r="154" spans="11:21" x14ac:dyDescent="0.25">
      <c r="K154" s="32" t="s">
        <v>285</v>
      </c>
      <c r="L154" s="20" t="s">
        <v>108</v>
      </c>
      <c r="M154" s="312">
        <f t="shared" si="44"/>
        <v>1.046239851204049E-5</v>
      </c>
      <c r="N154" s="312">
        <f t="shared" si="44"/>
        <v>0</v>
      </c>
      <c r="O154" s="312">
        <f t="shared" si="44"/>
        <v>0</v>
      </c>
      <c r="P154" s="312">
        <f t="shared" si="44"/>
        <v>0</v>
      </c>
      <c r="Q154" s="312">
        <f t="shared" si="44"/>
        <v>0</v>
      </c>
      <c r="R154" s="20" t="s">
        <v>141</v>
      </c>
      <c r="S154" s="114"/>
      <c r="T154" s="114"/>
      <c r="U154" s="114"/>
    </row>
    <row r="155" spans="11:21" x14ac:dyDescent="0.25">
      <c r="K155" s="311">
        <v>7.0000000000000007E-2</v>
      </c>
      <c r="L155" s="20" t="s">
        <v>109</v>
      </c>
      <c r="M155" s="312">
        <f t="shared" si="44"/>
        <v>1.046239851204049E-5</v>
      </c>
      <c r="N155" s="312">
        <f t="shared" si="44"/>
        <v>0</v>
      </c>
      <c r="O155" s="312">
        <f t="shared" si="44"/>
        <v>0</v>
      </c>
      <c r="P155" s="312">
        <f t="shared" si="44"/>
        <v>0</v>
      </c>
      <c r="Q155" s="312">
        <f t="shared" si="44"/>
        <v>0</v>
      </c>
      <c r="R155" s="20" t="s">
        <v>141</v>
      </c>
      <c r="S155" s="114"/>
      <c r="T155" s="114"/>
      <c r="U155" s="114"/>
    </row>
    <row r="156" spans="11:21" x14ac:dyDescent="0.25">
      <c r="K156" s="32"/>
      <c r="L156" s="20" t="s">
        <v>110</v>
      </c>
      <c r="M156" s="312">
        <f t="shared" si="44"/>
        <v>1.046239851204049E-5</v>
      </c>
      <c r="N156" s="312">
        <f t="shared" si="44"/>
        <v>0</v>
      </c>
      <c r="O156" s="312">
        <f t="shared" si="44"/>
        <v>0</v>
      </c>
      <c r="P156" s="312">
        <f t="shared" si="44"/>
        <v>0</v>
      </c>
      <c r="Q156" s="312">
        <f t="shared" si="44"/>
        <v>0</v>
      </c>
      <c r="R156" s="20" t="s">
        <v>141</v>
      </c>
      <c r="S156" s="114"/>
      <c r="T156" s="114"/>
      <c r="U156" s="114"/>
    </row>
    <row r="157" spans="11:21" x14ac:dyDescent="0.25">
      <c r="K157" s="311"/>
      <c r="L157" s="20"/>
      <c r="M157" s="588"/>
      <c r="N157" s="312"/>
      <c r="O157" s="312"/>
      <c r="P157" s="312"/>
      <c r="Q157" s="312"/>
      <c r="R157" s="20"/>
      <c r="S157" s="114"/>
      <c r="T157" s="114"/>
      <c r="U157" s="114"/>
    </row>
    <row r="158" spans="11:21" x14ac:dyDescent="0.25">
      <c r="K158" s="32" t="s">
        <v>270</v>
      </c>
      <c r="L158" s="20" t="s">
        <v>107</v>
      </c>
      <c r="M158" s="312">
        <f t="shared" ref="M158:Q161" si="45">M84*$K$160</f>
        <v>1.494628358862927E-5</v>
      </c>
      <c r="N158" s="312">
        <f t="shared" si="45"/>
        <v>0</v>
      </c>
      <c r="O158" s="312">
        <f t="shared" si="45"/>
        <v>0</v>
      </c>
      <c r="P158" s="312">
        <f t="shared" si="45"/>
        <v>0</v>
      </c>
      <c r="Q158" s="312">
        <f t="shared" si="45"/>
        <v>0</v>
      </c>
      <c r="R158" s="20" t="s">
        <v>141</v>
      </c>
      <c r="S158" s="114"/>
      <c r="T158" s="114"/>
      <c r="U158" s="114"/>
    </row>
    <row r="159" spans="11:21" x14ac:dyDescent="0.25">
      <c r="K159" s="32" t="s">
        <v>285</v>
      </c>
      <c r="L159" s="20" t="s">
        <v>108</v>
      </c>
      <c r="M159" s="312">
        <f t="shared" si="45"/>
        <v>1.494628358862927E-5</v>
      </c>
      <c r="N159" s="312">
        <f t="shared" si="45"/>
        <v>0</v>
      </c>
      <c r="O159" s="312">
        <f t="shared" si="45"/>
        <v>0</v>
      </c>
      <c r="P159" s="312">
        <f t="shared" si="45"/>
        <v>0</v>
      </c>
      <c r="Q159" s="312">
        <f t="shared" si="45"/>
        <v>0</v>
      </c>
      <c r="R159" s="20" t="s">
        <v>141</v>
      </c>
      <c r="S159" s="114"/>
      <c r="T159" s="114"/>
      <c r="U159" s="114"/>
    </row>
    <row r="160" spans="11:21" x14ac:dyDescent="0.25">
      <c r="K160" s="311">
        <v>0.2</v>
      </c>
      <c r="L160" s="20" t="s">
        <v>109</v>
      </c>
      <c r="M160" s="312">
        <f t="shared" si="45"/>
        <v>1.494628358862927E-5</v>
      </c>
      <c r="N160" s="312">
        <f t="shared" si="45"/>
        <v>0</v>
      </c>
      <c r="O160" s="312">
        <f t="shared" si="45"/>
        <v>0</v>
      </c>
      <c r="P160" s="312">
        <f t="shared" si="45"/>
        <v>0</v>
      </c>
      <c r="Q160" s="312">
        <f t="shared" si="45"/>
        <v>0</v>
      </c>
      <c r="R160" s="20" t="s">
        <v>141</v>
      </c>
      <c r="S160" s="114"/>
      <c r="T160" s="114"/>
      <c r="U160" s="114"/>
    </row>
    <row r="161" spans="11:21" x14ac:dyDescent="0.25">
      <c r="K161" s="32"/>
      <c r="L161" s="20" t="s">
        <v>110</v>
      </c>
      <c r="M161" s="312">
        <f t="shared" si="45"/>
        <v>1.494628358862927E-5</v>
      </c>
      <c r="N161" s="312">
        <f t="shared" si="45"/>
        <v>0</v>
      </c>
      <c r="O161" s="312">
        <f t="shared" si="45"/>
        <v>0</v>
      </c>
      <c r="P161" s="312">
        <f t="shared" si="45"/>
        <v>0</v>
      </c>
      <c r="Q161" s="312">
        <f t="shared" si="45"/>
        <v>0</v>
      </c>
      <c r="R161" s="20" t="s">
        <v>141</v>
      </c>
      <c r="S161" s="114"/>
      <c r="T161" s="114"/>
      <c r="U161" s="114"/>
    </row>
    <row r="162" spans="11:21" x14ac:dyDescent="0.25">
      <c r="K162" s="311"/>
      <c r="L162" s="20"/>
      <c r="M162" s="588"/>
      <c r="N162" s="312"/>
      <c r="O162" s="312"/>
      <c r="P162" s="312"/>
      <c r="Q162" s="312"/>
      <c r="R162" s="20"/>
      <c r="S162" s="114"/>
      <c r="T162" s="114"/>
      <c r="U162" s="114"/>
    </row>
    <row r="163" spans="11:21" x14ac:dyDescent="0.25">
      <c r="K163" s="32" t="s">
        <v>271</v>
      </c>
      <c r="L163" s="20" t="s">
        <v>107</v>
      </c>
      <c r="M163" s="312">
        <f t="shared" ref="M163:Q166" si="46">M89*$K$165</f>
        <v>1.0027597534916726E-4</v>
      </c>
      <c r="N163" s="312">
        <f t="shared" si="46"/>
        <v>0</v>
      </c>
      <c r="O163" s="312">
        <f t="shared" si="46"/>
        <v>0</v>
      </c>
      <c r="P163" s="312">
        <f t="shared" si="46"/>
        <v>0</v>
      </c>
      <c r="Q163" s="312">
        <f t="shared" si="46"/>
        <v>0</v>
      </c>
      <c r="R163" s="20" t="s">
        <v>141</v>
      </c>
      <c r="S163" s="114"/>
      <c r="T163" s="114"/>
      <c r="U163" s="114"/>
    </row>
    <row r="164" spans="11:21" x14ac:dyDescent="0.25">
      <c r="K164" s="32" t="s">
        <v>285</v>
      </c>
      <c r="L164" s="20" t="s">
        <v>108</v>
      </c>
      <c r="M164" s="312">
        <f t="shared" si="46"/>
        <v>1.0027597534916726E-4</v>
      </c>
      <c r="N164" s="312">
        <f t="shared" si="46"/>
        <v>0</v>
      </c>
      <c r="O164" s="312">
        <f t="shared" si="46"/>
        <v>0</v>
      </c>
      <c r="P164" s="312">
        <f t="shared" si="46"/>
        <v>0</v>
      </c>
      <c r="Q164" s="312">
        <f t="shared" si="46"/>
        <v>0</v>
      </c>
      <c r="R164" s="20" t="s">
        <v>141</v>
      </c>
      <c r="S164" s="114"/>
      <c r="T164" s="114"/>
      <c r="U164" s="114"/>
    </row>
    <row r="165" spans="11:21" x14ac:dyDescent="0.25">
      <c r="K165" s="311">
        <v>0.3</v>
      </c>
      <c r="L165" s="20" t="s">
        <v>109</v>
      </c>
      <c r="M165" s="312">
        <f t="shared" si="46"/>
        <v>1.0027597534916726E-4</v>
      </c>
      <c r="N165" s="312">
        <f t="shared" si="46"/>
        <v>0</v>
      </c>
      <c r="O165" s="312">
        <f t="shared" si="46"/>
        <v>0</v>
      </c>
      <c r="P165" s="312">
        <f t="shared" si="46"/>
        <v>0</v>
      </c>
      <c r="Q165" s="312">
        <f t="shared" si="46"/>
        <v>0</v>
      </c>
      <c r="R165" s="20" t="s">
        <v>141</v>
      </c>
      <c r="S165" s="114"/>
      <c r="T165" s="114"/>
      <c r="U165" s="114"/>
    </row>
    <row r="166" spans="11:21" x14ac:dyDescent="0.25">
      <c r="K166" s="311"/>
      <c r="L166" s="20" t="s">
        <v>110</v>
      </c>
      <c r="M166" s="312">
        <f t="shared" si="46"/>
        <v>1.0027597534916726E-4</v>
      </c>
      <c r="N166" s="312">
        <f t="shared" si="46"/>
        <v>0</v>
      </c>
      <c r="O166" s="312">
        <f t="shared" si="46"/>
        <v>0</v>
      </c>
      <c r="P166" s="312">
        <f t="shared" si="46"/>
        <v>0</v>
      </c>
      <c r="Q166" s="312">
        <f t="shared" si="46"/>
        <v>0</v>
      </c>
      <c r="R166" s="20" t="s">
        <v>141</v>
      </c>
      <c r="S166" s="114"/>
      <c r="T166" s="114"/>
      <c r="U166" s="114"/>
    </row>
    <row r="167" spans="11:21" x14ac:dyDescent="0.25">
      <c r="K167" s="32"/>
      <c r="L167" s="20"/>
      <c r="M167" s="588"/>
      <c r="N167" s="32"/>
      <c r="O167" s="32"/>
      <c r="P167" s="32"/>
      <c r="Q167" s="32"/>
      <c r="R167" s="20"/>
      <c r="S167" s="114"/>
      <c r="T167" s="114"/>
      <c r="U167" s="114"/>
    </row>
    <row r="168" spans="11:21" x14ac:dyDescent="0.25">
      <c r="K168" s="21" t="s">
        <v>300</v>
      </c>
      <c r="L168" s="20" t="s">
        <v>107</v>
      </c>
      <c r="M168" s="313">
        <f>SUM(M143,M148,M153,M158,M163)</f>
        <v>6.7733839717560803E-4</v>
      </c>
      <c r="N168" s="313">
        <f t="shared" ref="N168:Q168" si="47">SUM(N143,N148,N153,N158,N163)</f>
        <v>0</v>
      </c>
      <c r="O168" s="313">
        <f t="shared" si="47"/>
        <v>0</v>
      </c>
      <c r="P168" s="313">
        <f t="shared" si="47"/>
        <v>0</v>
      </c>
      <c r="Q168" s="313">
        <f t="shared" si="47"/>
        <v>0</v>
      </c>
      <c r="R168" s="20" t="s">
        <v>141</v>
      </c>
      <c r="S168" s="114"/>
      <c r="T168" s="114"/>
      <c r="U168" s="114"/>
    </row>
    <row r="169" spans="11:21" x14ac:dyDescent="0.25">
      <c r="K169" s="32"/>
      <c r="L169" s="20" t="s">
        <v>108</v>
      </c>
      <c r="M169" s="313">
        <f t="shared" ref="M169:Q169" si="48">SUM(M144,M149,M154,M159,M164)</f>
        <v>6.7733839717560803E-4</v>
      </c>
      <c r="N169" s="313">
        <f t="shared" si="48"/>
        <v>0</v>
      </c>
      <c r="O169" s="313">
        <f t="shared" si="48"/>
        <v>0</v>
      </c>
      <c r="P169" s="313">
        <f t="shared" si="48"/>
        <v>0</v>
      </c>
      <c r="Q169" s="313">
        <f t="shared" si="48"/>
        <v>0</v>
      </c>
      <c r="R169" s="20" t="s">
        <v>141</v>
      </c>
      <c r="S169" s="114"/>
      <c r="T169" s="114"/>
      <c r="U169" s="114"/>
    </row>
    <row r="170" spans="11:21" x14ac:dyDescent="0.25">
      <c r="K170" s="32"/>
      <c r="L170" s="20" t="s">
        <v>109</v>
      </c>
      <c r="M170" s="313">
        <f t="shared" ref="M170:Q170" si="49">SUM(M145,M150,M155,M160,M165)</f>
        <v>6.7733839717560803E-4</v>
      </c>
      <c r="N170" s="313">
        <f t="shared" si="49"/>
        <v>0</v>
      </c>
      <c r="O170" s="313">
        <f t="shared" si="49"/>
        <v>0</v>
      </c>
      <c r="P170" s="313">
        <f t="shared" si="49"/>
        <v>0</v>
      </c>
      <c r="Q170" s="313">
        <f t="shared" si="49"/>
        <v>0</v>
      </c>
      <c r="R170" s="20" t="s">
        <v>141</v>
      </c>
      <c r="S170" s="114"/>
      <c r="T170" s="114"/>
      <c r="U170" s="114"/>
    </row>
    <row r="171" spans="11:21" x14ac:dyDescent="0.25">
      <c r="K171" s="32"/>
      <c r="L171" s="20" t="s">
        <v>110</v>
      </c>
      <c r="M171" s="313">
        <f t="shared" ref="M171:Q171" si="50">SUM(M146,M151,M156,M161,M166)</f>
        <v>6.7733839717560803E-4</v>
      </c>
      <c r="N171" s="313">
        <f t="shared" si="50"/>
        <v>0</v>
      </c>
      <c r="O171" s="313">
        <f t="shared" si="50"/>
        <v>0</v>
      </c>
      <c r="P171" s="313">
        <f t="shared" si="50"/>
        <v>0</v>
      </c>
      <c r="Q171" s="313">
        <f t="shared" si="50"/>
        <v>0</v>
      </c>
      <c r="R171" s="20" t="s">
        <v>141</v>
      </c>
      <c r="S171" s="114"/>
      <c r="T171" s="114"/>
      <c r="U171" s="114"/>
    </row>
    <row r="172" spans="11:21" x14ac:dyDescent="0.25">
      <c r="K172" s="32"/>
      <c r="L172" s="20"/>
      <c r="M172" s="32"/>
      <c r="N172" s="32"/>
      <c r="O172" s="32"/>
      <c r="P172" s="32"/>
      <c r="Q172" s="32"/>
      <c r="R172" s="20"/>
      <c r="S172" s="114"/>
      <c r="T172" s="114"/>
      <c r="U172" s="114"/>
    </row>
    <row r="173" spans="11:21" x14ac:dyDescent="0.25">
      <c r="K173" s="32"/>
      <c r="L173" s="21" t="s">
        <v>800</v>
      </c>
      <c r="M173" s="32"/>
      <c r="N173" s="32"/>
      <c r="O173" s="32"/>
      <c r="P173" s="32"/>
      <c r="Q173" s="32"/>
      <c r="R173" s="20"/>
      <c r="S173" s="114"/>
      <c r="T173" s="114" t="s">
        <v>297</v>
      </c>
      <c r="U173" s="114" t="s">
        <v>413</v>
      </c>
    </row>
    <row r="174" spans="11:21" x14ac:dyDescent="0.25">
      <c r="K174" s="32"/>
      <c r="L174" s="20" t="s">
        <v>265</v>
      </c>
      <c r="M174" s="32"/>
      <c r="N174" s="32">
        <f>D72</f>
        <v>4.0000000000000001E-3</v>
      </c>
      <c r="O174" s="32"/>
      <c r="P174" s="32"/>
      <c r="Q174" s="32"/>
      <c r="R174" s="20" t="s">
        <v>92</v>
      </c>
      <c r="S174" s="114"/>
      <c r="T174" s="114"/>
      <c r="U174" s="114"/>
    </row>
    <row r="175" spans="11:21" x14ac:dyDescent="0.25">
      <c r="K175" s="32"/>
      <c r="L175" s="20" t="s">
        <v>311</v>
      </c>
      <c r="M175" s="32"/>
      <c r="N175" s="36">
        <f>GWP!C15</f>
        <v>1.5714285714285714</v>
      </c>
      <c r="O175" s="32"/>
      <c r="P175" s="32"/>
      <c r="Q175" s="32"/>
      <c r="R175" s="20"/>
      <c r="S175" s="114"/>
      <c r="T175" s="114"/>
      <c r="U175" s="114"/>
    </row>
    <row r="176" spans="11:21" x14ac:dyDescent="0.25">
      <c r="K176" s="32"/>
      <c r="L176" s="20"/>
      <c r="M176" s="32"/>
      <c r="N176" s="32"/>
      <c r="O176" s="32"/>
      <c r="P176" s="32"/>
      <c r="Q176" s="32"/>
      <c r="R176" s="20"/>
      <c r="S176" s="114"/>
      <c r="T176" s="114"/>
      <c r="U176" s="114"/>
    </row>
    <row r="177" spans="11:21" x14ac:dyDescent="0.25">
      <c r="K177" s="21" t="s">
        <v>6</v>
      </c>
      <c r="L177" s="30">
        <f>(SUM(M168:Q171))*N174*N175</f>
        <v>1.7030222557558145E-5</v>
      </c>
      <c r="M177" s="32"/>
      <c r="N177" s="32"/>
      <c r="O177" s="32"/>
      <c r="P177" s="32"/>
      <c r="Q177" s="32"/>
      <c r="R177" s="20" t="s">
        <v>319</v>
      </c>
      <c r="S177" s="114"/>
      <c r="T177" s="114"/>
      <c r="U177" s="114"/>
    </row>
    <row r="178" spans="11:21" x14ac:dyDescent="0.25">
      <c r="K178" s="21" t="s">
        <v>6</v>
      </c>
      <c r="L178" s="30">
        <f>L177*GWP!C6</f>
        <v>5.0750063221523273E-3</v>
      </c>
      <c r="M178" s="32"/>
      <c r="N178" s="32"/>
      <c r="O178" s="32"/>
      <c r="P178" s="32"/>
      <c r="Q178" s="32"/>
      <c r="R178" s="20" t="s">
        <v>70</v>
      </c>
      <c r="S178" s="114"/>
      <c r="T178" s="114"/>
      <c r="U178" s="114"/>
    </row>
    <row r="179" spans="11:21" x14ac:dyDescent="0.25">
      <c r="K179" s="109" t="s">
        <v>6</v>
      </c>
      <c r="L179" s="585">
        <f>L178*10^3</f>
        <v>5.0750063221523272</v>
      </c>
      <c r="M179" s="109"/>
      <c r="N179" s="109"/>
      <c r="O179" s="109"/>
      <c r="P179" s="109"/>
      <c r="Q179" s="109"/>
      <c r="R179" s="109" t="s">
        <v>119</v>
      </c>
      <c r="S179" s="136"/>
      <c r="T179" s="136"/>
      <c r="U179" s="136"/>
    </row>
    <row r="180" spans="11:21" x14ac:dyDescent="0.25">
      <c r="K180" s="32"/>
      <c r="L180" s="20"/>
      <c r="M180" s="32"/>
      <c r="N180" s="32"/>
      <c r="O180" s="32"/>
      <c r="P180" s="32"/>
      <c r="Q180" s="32"/>
      <c r="R180" s="20"/>
      <c r="S180" s="114"/>
      <c r="T180" s="114"/>
      <c r="U180" s="114"/>
    </row>
    <row r="181" spans="11:21" x14ac:dyDescent="0.25">
      <c r="K181" s="40" t="s">
        <v>307</v>
      </c>
      <c r="L181" s="20"/>
      <c r="M181" s="32"/>
      <c r="N181" s="32"/>
      <c r="O181" s="32"/>
      <c r="P181" s="32"/>
      <c r="Q181" s="32"/>
      <c r="R181" s="20"/>
      <c r="S181" s="114"/>
      <c r="T181" s="114"/>
      <c r="U181" s="114"/>
    </row>
    <row r="182" spans="11:21" x14ac:dyDescent="0.25">
      <c r="K182" s="32"/>
      <c r="L182" s="20"/>
      <c r="M182" s="32"/>
      <c r="N182" s="32"/>
      <c r="O182" s="32"/>
      <c r="P182" s="32"/>
      <c r="Q182" s="32"/>
      <c r="R182" s="20"/>
      <c r="S182" s="114"/>
      <c r="T182" s="114"/>
      <c r="U182" s="114"/>
    </row>
    <row r="183" spans="11:21" x14ac:dyDescent="0.25">
      <c r="K183" s="20"/>
      <c r="L183" s="21" t="s">
        <v>303</v>
      </c>
      <c r="M183" s="20"/>
      <c r="N183" s="20"/>
      <c r="O183" s="20"/>
      <c r="P183" s="20"/>
      <c r="Q183" s="20"/>
      <c r="R183" s="20"/>
      <c r="S183" s="114"/>
      <c r="T183" s="114" t="s">
        <v>302</v>
      </c>
      <c r="U183" s="114" t="s">
        <v>413</v>
      </c>
    </row>
    <row r="184" spans="11:21" x14ac:dyDescent="0.25">
      <c r="K184" s="20"/>
      <c r="L184" s="20" t="s">
        <v>304</v>
      </c>
      <c r="M184" s="30">
        <v>1</v>
      </c>
      <c r="N184" s="20"/>
      <c r="O184" s="20"/>
      <c r="P184" s="20"/>
      <c r="Q184" s="20"/>
      <c r="R184" s="20"/>
      <c r="S184" s="114"/>
      <c r="T184" s="114"/>
      <c r="U184" s="114"/>
    </row>
    <row r="185" spans="11:21" x14ac:dyDescent="0.25">
      <c r="K185" s="20"/>
      <c r="L185" s="20" t="s">
        <v>305</v>
      </c>
      <c r="M185" s="30">
        <v>0.3</v>
      </c>
      <c r="N185" s="20"/>
      <c r="O185" s="20"/>
      <c r="P185" s="20"/>
      <c r="Q185" s="20"/>
      <c r="R185" s="20" t="s">
        <v>306</v>
      </c>
      <c r="S185" s="114"/>
      <c r="T185" s="114"/>
      <c r="U185" s="114"/>
    </row>
    <row r="186" spans="11:21" x14ac:dyDescent="0.25">
      <c r="K186" s="20"/>
      <c r="L186" s="20"/>
      <c r="M186" s="20"/>
      <c r="N186" s="20"/>
      <c r="O186" s="20"/>
      <c r="P186" s="20"/>
      <c r="Q186" s="20"/>
      <c r="R186" s="20"/>
      <c r="S186" s="114"/>
      <c r="T186" s="114"/>
      <c r="U186" s="114"/>
    </row>
    <row r="187" spans="11:21" x14ac:dyDescent="0.25">
      <c r="K187" s="20"/>
      <c r="L187" s="20" t="s">
        <v>107</v>
      </c>
      <c r="M187" s="583">
        <f>M89*$M$184*$M$185</f>
        <v>1.0027597534916726E-4</v>
      </c>
      <c r="N187" s="318">
        <f t="shared" ref="N187:Q187" si="51">N89*$M$184*$M$185</f>
        <v>0</v>
      </c>
      <c r="O187" s="318">
        <f t="shared" si="51"/>
        <v>0</v>
      </c>
      <c r="P187" s="318">
        <f t="shared" si="51"/>
        <v>0</v>
      </c>
      <c r="Q187" s="318">
        <f t="shared" si="51"/>
        <v>0</v>
      </c>
      <c r="R187" s="20" t="s">
        <v>141</v>
      </c>
      <c r="S187" s="114"/>
      <c r="T187" s="114"/>
      <c r="U187" s="114"/>
    </row>
    <row r="188" spans="11:21" x14ac:dyDescent="0.25">
      <c r="K188" s="20"/>
      <c r="L188" s="20" t="s">
        <v>108</v>
      </c>
      <c r="M188" s="318">
        <f t="shared" ref="M188:Q190" si="52">M90*$M$184*$M$185</f>
        <v>1.0027597534916726E-4</v>
      </c>
      <c r="N188" s="318">
        <f t="shared" si="52"/>
        <v>0</v>
      </c>
      <c r="O188" s="318">
        <f t="shared" si="52"/>
        <v>0</v>
      </c>
      <c r="P188" s="318">
        <f t="shared" si="52"/>
        <v>0</v>
      </c>
      <c r="Q188" s="318">
        <f t="shared" si="52"/>
        <v>0</v>
      </c>
      <c r="R188" s="20" t="s">
        <v>141</v>
      </c>
      <c r="S188" s="114"/>
      <c r="T188" s="114"/>
      <c r="U188" s="114"/>
    </row>
    <row r="189" spans="11:21" x14ac:dyDescent="0.25">
      <c r="K189" s="20"/>
      <c r="L189" s="20" t="s">
        <v>109</v>
      </c>
      <c r="M189" s="318">
        <f t="shared" si="52"/>
        <v>1.0027597534916726E-4</v>
      </c>
      <c r="N189" s="318">
        <f t="shared" si="52"/>
        <v>0</v>
      </c>
      <c r="O189" s="318">
        <f t="shared" si="52"/>
        <v>0</v>
      </c>
      <c r="P189" s="318">
        <f t="shared" si="52"/>
        <v>0</v>
      </c>
      <c r="Q189" s="318">
        <f t="shared" si="52"/>
        <v>0</v>
      </c>
      <c r="R189" s="20" t="s">
        <v>141</v>
      </c>
      <c r="S189" s="114"/>
      <c r="T189" s="114"/>
      <c r="U189" s="114"/>
    </row>
    <row r="190" spans="11:21" x14ac:dyDescent="0.25">
      <c r="K190" s="20"/>
      <c r="L190" s="20" t="s">
        <v>110</v>
      </c>
      <c r="M190" s="318">
        <f t="shared" si="52"/>
        <v>1.0027597534916726E-4</v>
      </c>
      <c r="N190" s="318">
        <f t="shared" si="52"/>
        <v>0</v>
      </c>
      <c r="O190" s="318">
        <f t="shared" si="52"/>
        <v>0</v>
      </c>
      <c r="P190" s="318">
        <f t="shared" si="52"/>
        <v>0</v>
      </c>
      <c r="Q190" s="318">
        <f t="shared" si="52"/>
        <v>0</v>
      </c>
      <c r="R190" s="20" t="s">
        <v>141</v>
      </c>
      <c r="S190" s="114"/>
      <c r="T190" s="114"/>
      <c r="U190" s="114"/>
    </row>
    <row r="191" spans="11:21" x14ac:dyDescent="0.25">
      <c r="K191" s="20"/>
      <c r="L191" s="20"/>
      <c r="M191" s="117"/>
      <c r="N191" s="20"/>
      <c r="O191" s="20"/>
      <c r="P191" s="20"/>
      <c r="Q191" s="20"/>
      <c r="R191" s="20"/>
      <c r="S191" s="114"/>
      <c r="T191" s="114"/>
      <c r="U191" s="114"/>
    </row>
    <row r="192" spans="11:21" x14ac:dyDescent="0.25">
      <c r="K192" s="20"/>
      <c r="L192" s="21" t="s">
        <v>308</v>
      </c>
      <c r="M192" s="20"/>
      <c r="N192" s="20"/>
      <c r="O192" s="20"/>
      <c r="P192" s="20"/>
      <c r="Q192" s="20"/>
      <c r="R192" s="20"/>
      <c r="S192" s="114"/>
      <c r="T192" s="114" t="s">
        <v>309</v>
      </c>
      <c r="U192" s="114" t="s">
        <v>413</v>
      </c>
    </row>
    <row r="193" spans="11:21" x14ac:dyDescent="0.25">
      <c r="K193" s="20"/>
      <c r="L193" s="20"/>
      <c r="M193" s="20"/>
      <c r="N193" s="20"/>
      <c r="O193" s="20"/>
      <c r="P193" s="20"/>
      <c r="Q193" s="20"/>
      <c r="R193" s="20"/>
      <c r="S193" s="114"/>
      <c r="T193" s="114"/>
      <c r="U193" s="114"/>
    </row>
    <row r="194" spans="11:21" x14ac:dyDescent="0.25">
      <c r="K194" s="20"/>
      <c r="L194" s="20" t="s">
        <v>310</v>
      </c>
      <c r="M194" s="20">
        <v>7.4999999999999997E-3</v>
      </c>
      <c r="N194" s="20"/>
      <c r="O194" s="20"/>
      <c r="P194" s="20"/>
      <c r="Q194" s="20"/>
      <c r="R194" s="20"/>
      <c r="S194" s="114"/>
      <c r="T194" s="114"/>
      <c r="U194" s="114"/>
    </row>
    <row r="195" spans="11:21" x14ac:dyDescent="0.25">
      <c r="K195" s="20"/>
      <c r="L195" s="20" t="s">
        <v>311</v>
      </c>
      <c r="M195" s="30">
        <f>GWP!C15</f>
        <v>1.5714285714285714</v>
      </c>
      <c r="N195" s="20"/>
      <c r="O195" s="20"/>
      <c r="P195" s="20"/>
      <c r="Q195" s="20"/>
      <c r="R195" s="20"/>
      <c r="S195" s="114"/>
      <c r="T195" s="114"/>
      <c r="U195" s="114"/>
    </row>
    <row r="196" spans="11:21" x14ac:dyDescent="0.25">
      <c r="K196" s="20"/>
      <c r="L196" s="20"/>
      <c r="M196" s="20"/>
      <c r="N196" s="20"/>
      <c r="O196" s="20"/>
      <c r="P196" s="20"/>
      <c r="Q196" s="20"/>
      <c r="R196" s="20"/>
      <c r="S196" s="114"/>
      <c r="T196" s="114"/>
      <c r="U196" s="114"/>
    </row>
    <row r="197" spans="11:21" x14ac:dyDescent="0.25">
      <c r="K197" s="20"/>
      <c r="L197" s="20"/>
      <c r="M197" s="20"/>
      <c r="N197" s="20"/>
      <c r="O197" s="20"/>
      <c r="P197" s="20"/>
      <c r="Q197" s="20"/>
      <c r="R197" s="20"/>
      <c r="S197" s="114"/>
      <c r="T197" s="114"/>
      <c r="U197" s="114"/>
    </row>
    <row r="198" spans="11:21" x14ac:dyDescent="0.25">
      <c r="K198" s="21" t="s">
        <v>6</v>
      </c>
      <c r="L198" s="30">
        <f>SUM(M187:Q190)</f>
        <v>4.0110390139666904E-4</v>
      </c>
      <c r="M198" s="20"/>
      <c r="N198" s="20"/>
      <c r="O198" s="20"/>
      <c r="P198" s="20"/>
      <c r="Q198" s="20"/>
      <c r="R198" s="20" t="s">
        <v>301</v>
      </c>
      <c r="S198" s="114"/>
      <c r="T198" s="114"/>
      <c r="U198" s="114"/>
    </row>
    <row r="199" spans="11:21" x14ac:dyDescent="0.25">
      <c r="K199" s="21" t="s">
        <v>6</v>
      </c>
      <c r="L199" s="30">
        <f>(L198*M194*M195)*GWP!C6</f>
        <v>1.408734202262444E-3</v>
      </c>
      <c r="M199" s="20"/>
      <c r="N199" s="20"/>
      <c r="O199" s="20"/>
      <c r="P199" s="20"/>
      <c r="Q199" s="20"/>
      <c r="R199" s="20" t="s">
        <v>70</v>
      </c>
      <c r="S199" s="114"/>
      <c r="T199" s="114"/>
      <c r="U199" s="114"/>
    </row>
    <row r="200" spans="11:21" x14ac:dyDescent="0.25">
      <c r="K200" s="109" t="s">
        <v>6</v>
      </c>
      <c r="L200" s="586">
        <f>L199*10^3</f>
        <v>1.4087342022624441</v>
      </c>
      <c r="M200" s="135"/>
      <c r="N200" s="135"/>
      <c r="O200" s="135"/>
      <c r="P200" s="135"/>
      <c r="Q200" s="135"/>
      <c r="R200" s="109" t="s">
        <v>119</v>
      </c>
      <c r="S200" s="136"/>
      <c r="T200" s="136"/>
      <c r="U200" s="136"/>
    </row>
    <row r="201" spans="11:21" x14ac:dyDescent="0.25">
      <c r="K201" s="20"/>
      <c r="L201" s="20"/>
      <c r="M201" s="20"/>
      <c r="N201" s="20"/>
      <c r="O201" s="20"/>
      <c r="P201" s="20"/>
      <c r="Q201" s="20"/>
      <c r="R201" s="20"/>
      <c r="S201" s="114"/>
      <c r="T201" s="114"/>
      <c r="U201" s="114"/>
    </row>
    <row r="202" spans="11:21" x14ac:dyDescent="0.25">
      <c r="K202" s="109" t="s">
        <v>483</v>
      </c>
      <c r="L202" s="316">
        <f>L200+L179</f>
        <v>6.4837405244147712</v>
      </c>
      <c r="M202" s="109"/>
      <c r="N202" s="109"/>
      <c r="O202" s="109"/>
      <c r="P202" s="109"/>
      <c r="Q202" s="109"/>
      <c r="R202" s="109" t="s">
        <v>119</v>
      </c>
      <c r="S202" s="136"/>
      <c r="T202" s="136"/>
      <c r="U202" s="136"/>
    </row>
    <row r="203" spans="11:21" x14ac:dyDescent="0.25">
      <c r="K203" s="109" t="s">
        <v>801</v>
      </c>
      <c r="L203" s="316">
        <f>L202+L134</f>
        <v>9.6142609738868696</v>
      </c>
      <c r="M203" s="109"/>
      <c r="N203" s="109"/>
      <c r="O203" s="109"/>
      <c r="P203" s="109"/>
      <c r="Q203" s="109"/>
      <c r="R203" s="109" t="s">
        <v>119</v>
      </c>
      <c r="S203" s="136"/>
      <c r="T203" s="136"/>
      <c r="U203" s="136"/>
    </row>
  </sheetData>
  <sheetProtection sheet="1" objects="1" scenarios="1"/>
  <phoneticPr fontId="0" type="noConversion"/>
  <pageMargins left="0.75" right="0.75" top="1" bottom="1" header="0.5" footer="0.5"/>
  <pageSetup paperSize="9" orientation="portrait" horizontalDpi="300" verticalDpi="30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B366"/>
  <sheetViews>
    <sheetView showGridLines="0" zoomScale="80" zoomScaleNormal="80" zoomScalePageLayoutView="80" workbookViewId="0"/>
  </sheetViews>
  <sheetFormatPr defaultColWidth="9.140625" defaultRowHeight="15.75" x14ac:dyDescent="0.25"/>
  <cols>
    <col min="1" max="1" width="2.7109375" style="3" customWidth="1"/>
    <col min="2" max="2" width="79.7109375" style="3" customWidth="1"/>
    <col min="3" max="3" width="17.42578125" style="3" customWidth="1"/>
    <col min="4" max="5" width="14.42578125" style="3" customWidth="1"/>
    <col min="6" max="6" width="15.7109375" style="3" customWidth="1"/>
    <col min="7" max="8" width="18.42578125" style="3" customWidth="1"/>
    <col min="9" max="9" width="23.140625" style="3" customWidth="1"/>
    <col min="10" max="10" width="22.42578125" style="3" customWidth="1"/>
    <col min="11" max="12" width="33.7109375" style="87" customWidth="1"/>
    <col min="13" max="13" width="9.140625" style="3"/>
    <col min="14" max="14" width="12.7109375" style="3" bestFit="1" customWidth="1"/>
    <col min="15" max="15" width="9.140625" style="3"/>
    <col min="16" max="16" width="15.42578125" style="3" bestFit="1" customWidth="1"/>
    <col min="17" max="17" width="11.42578125" style="3" bestFit="1" customWidth="1"/>
    <col min="18" max="18" width="9.140625" style="3"/>
    <col min="19" max="19" width="11.42578125" style="3" bestFit="1" customWidth="1"/>
    <col min="20" max="16384" width="9.140625" style="3"/>
  </cols>
  <sheetData>
    <row r="1" spans="1:12" ht="25.7" customHeight="1" x14ac:dyDescent="0.3">
      <c r="A1" s="15" t="s">
        <v>183</v>
      </c>
      <c r="B1" s="41"/>
      <c r="C1" s="41"/>
      <c r="G1" s="4"/>
      <c r="H1" s="4"/>
    </row>
    <row r="2" spans="1:12" ht="18.75" x14ac:dyDescent="0.3">
      <c r="A2" s="15"/>
      <c r="B2" s="41"/>
      <c r="C2" s="41"/>
      <c r="G2" s="4"/>
      <c r="H2" s="4"/>
    </row>
    <row r="3" spans="1:12" ht="14.25" customHeight="1" x14ac:dyDescent="0.3">
      <c r="A3" s="15"/>
      <c r="B3" s="120" t="s">
        <v>7</v>
      </c>
      <c r="C3" s="121"/>
      <c r="D3" s="122"/>
      <c r="E3" s="122"/>
      <c r="F3" s="122"/>
      <c r="G3" s="122"/>
      <c r="H3" s="122"/>
      <c r="I3" s="123" t="s">
        <v>24</v>
      </c>
      <c r="J3" s="293" t="s">
        <v>199</v>
      </c>
      <c r="K3" s="296" t="s">
        <v>274</v>
      </c>
      <c r="L3" s="296" t="s">
        <v>758</v>
      </c>
    </row>
    <row r="4" spans="1:12" ht="14.25" customHeight="1" x14ac:dyDescent="0.3">
      <c r="A4" s="15"/>
      <c r="B4" s="42"/>
      <c r="C4" s="44"/>
      <c r="D4" s="44"/>
      <c r="E4" s="43"/>
      <c r="F4" s="48"/>
      <c r="G4" s="43"/>
      <c r="H4" s="43"/>
      <c r="I4" s="44"/>
      <c r="J4" s="290"/>
      <c r="K4" s="295"/>
      <c r="L4" s="295"/>
    </row>
    <row r="5" spans="1:12" x14ac:dyDescent="0.25">
      <c r="B5" s="42"/>
      <c r="C5" s="44"/>
      <c r="D5" s="44" t="s">
        <v>446</v>
      </c>
      <c r="E5" s="412"/>
      <c r="F5" s="44" t="s">
        <v>444</v>
      </c>
      <c r="G5" s="43"/>
      <c r="H5" s="43"/>
      <c r="I5" s="44"/>
      <c r="J5" s="290"/>
      <c r="K5" s="292"/>
      <c r="L5" s="292"/>
    </row>
    <row r="6" spans="1:12" x14ac:dyDescent="0.25">
      <c r="B6" s="42" t="s">
        <v>283</v>
      </c>
      <c r="C6" s="44"/>
      <c r="D6" s="44">
        <f>'Data input'!D46</f>
        <v>0</v>
      </c>
      <c r="E6" s="44"/>
      <c r="F6" s="44">
        <f>'Data input'!F46</f>
        <v>0</v>
      </c>
      <c r="G6" s="43"/>
      <c r="H6" s="43"/>
      <c r="I6" s="44"/>
      <c r="J6" s="290"/>
      <c r="K6" s="292"/>
      <c r="L6" s="292"/>
    </row>
    <row r="7" spans="1:12" x14ac:dyDescent="0.25">
      <c r="B7" s="42" t="s">
        <v>282</v>
      </c>
      <c r="C7" s="44"/>
      <c r="D7" s="44">
        <f>'Data input'!D47</f>
        <v>0</v>
      </c>
      <c r="E7" s="44"/>
      <c r="F7" s="44">
        <f>'Data input'!F47</f>
        <v>200</v>
      </c>
      <c r="G7" s="43"/>
      <c r="H7" s="43"/>
      <c r="I7" s="44"/>
      <c r="J7" s="290"/>
      <c r="K7" s="292"/>
      <c r="L7" s="292"/>
    </row>
    <row r="8" spans="1:12" x14ac:dyDescent="0.25">
      <c r="B8" s="42"/>
      <c r="C8" s="44"/>
      <c r="D8" s="44"/>
      <c r="E8" s="43"/>
      <c r="F8" s="48"/>
      <c r="G8" s="43"/>
      <c r="H8" s="43"/>
      <c r="I8" s="44"/>
      <c r="J8" s="290"/>
      <c r="K8" s="292"/>
      <c r="L8" s="292"/>
    </row>
    <row r="9" spans="1:12" x14ac:dyDescent="0.25">
      <c r="B9" s="42"/>
      <c r="C9" s="44"/>
      <c r="D9" s="44"/>
      <c r="E9" s="43"/>
      <c r="F9" s="48"/>
      <c r="G9" s="43"/>
      <c r="H9" s="43"/>
      <c r="I9" s="44"/>
      <c r="J9" s="290"/>
      <c r="K9" s="292"/>
      <c r="L9" s="292"/>
    </row>
    <row r="10" spans="1:12" x14ac:dyDescent="0.25">
      <c r="B10" s="42"/>
      <c r="C10" s="44"/>
      <c r="D10" s="44" t="s">
        <v>446</v>
      </c>
      <c r="E10" s="412"/>
      <c r="F10" s="44" t="s">
        <v>444</v>
      </c>
      <c r="G10" s="43"/>
      <c r="H10" s="43"/>
      <c r="I10" s="44"/>
      <c r="J10" s="290"/>
      <c r="K10" s="292"/>
      <c r="L10" s="292"/>
    </row>
    <row r="11" spans="1:12" x14ac:dyDescent="0.25">
      <c r="B11" s="42" t="s">
        <v>445</v>
      </c>
      <c r="C11" s="44" t="s">
        <v>107</v>
      </c>
      <c r="D11" s="44">
        <f>'Data input'!D50*$D$6</f>
        <v>0</v>
      </c>
      <c r="E11" s="412"/>
      <c r="F11" s="44">
        <f>'Data input'!F50*$F$6</f>
        <v>0</v>
      </c>
      <c r="G11" s="412"/>
      <c r="H11" s="43"/>
      <c r="I11" s="44" t="s">
        <v>148</v>
      </c>
      <c r="J11" s="290"/>
      <c r="K11" s="292"/>
      <c r="L11" s="292"/>
    </row>
    <row r="12" spans="1:12" x14ac:dyDescent="0.25">
      <c r="B12" s="42"/>
      <c r="C12" s="44" t="s">
        <v>108</v>
      </c>
      <c r="D12" s="44">
        <f>'Data input'!D51*$D$6</f>
        <v>0</v>
      </c>
      <c r="E12" s="412"/>
      <c r="F12" s="44">
        <f>'Data input'!F51*$F$6</f>
        <v>0</v>
      </c>
      <c r="G12" s="412"/>
      <c r="H12" s="43"/>
      <c r="I12" s="44" t="s">
        <v>148</v>
      </c>
      <c r="J12" s="290"/>
      <c r="K12" s="292"/>
      <c r="L12" s="292"/>
    </row>
    <row r="13" spans="1:12" x14ac:dyDescent="0.25">
      <c r="B13" s="42"/>
      <c r="C13" s="44" t="s">
        <v>109</v>
      </c>
      <c r="D13" s="44">
        <f>'Data input'!D52*$D$6</f>
        <v>0</v>
      </c>
      <c r="E13" s="412"/>
      <c r="F13" s="44">
        <f>'Data input'!F52*$F$6</f>
        <v>0</v>
      </c>
      <c r="G13" s="412"/>
      <c r="H13" s="43"/>
      <c r="I13" s="44" t="s">
        <v>148</v>
      </c>
      <c r="J13" s="290"/>
      <c r="K13" s="292"/>
      <c r="L13" s="292"/>
    </row>
    <row r="14" spans="1:12" x14ac:dyDescent="0.25">
      <c r="B14" s="42"/>
      <c r="C14" s="44" t="s">
        <v>110</v>
      </c>
      <c r="D14" s="44">
        <f>'Data input'!D53*$D$6</f>
        <v>0</v>
      </c>
      <c r="E14" s="412"/>
      <c r="F14" s="44">
        <f>'Data input'!F53*$F$6</f>
        <v>0</v>
      </c>
      <c r="G14" s="412"/>
      <c r="H14" s="43"/>
      <c r="I14" s="44" t="s">
        <v>148</v>
      </c>
      <c r="J14" s="290"/>
      <c r="K14" s="292"/>
      <c r="L14" s="292"/>
    </row>
    <row r="15" spans="1:12" x14ac:dyDescent="0.25">
      <c r="B15" s="42"/>
      <c r="C15" s="44"/>
      <c r="D15" s="44"/>
      <c r="E15" s="412"/>
      <c r="F15" s="44"/>
      <c r="G15" s="412"/>
      <c r="H15" s="43"/>
      <c r="I15" s="44"/>
      <c r="J15" s="290"/>
      <c r="K15" s="292"/>
      <c r="L15" s="292"/>
    </row>
    <row r="16" spans="1:12" x14ac:dyDescent="0.25">
      <c r="B16" s="42"/>
      <c r="C16" s="44"/>
      <c r="D16" s="44" t="s">
        <v>446</v>
      </c>
      <c r="E16" s="412"/>
      <c r="F16" s="44" t="s">
        <v>444</v>
      </c>
      <c r="G16" s="412"/>
      <c r="H16" s="43"/>
      <c r="I16" s="44"/>
      <c r="J16" s="290"/>
      <c r="K16" s="292"/>
      <c r="L16" s="292"/>
    </row>
    <row r="17" spans="2:12" x14ac:dyDescent="0.25">
      <c r="B17" s="42" t="s">
        <v>447</v>
      </c>
      <c r="C17" s="44" t="s">
        <v>107</v>
      </c>
      <c r="D17" s="44">
        <f>'Data input'!D57*$D$7</f>
        <v>0</v>
      </c>
      <c r="E17" s="412"/>
      <c r="F17" s="44">
        <f>'Data input'!F57*$F$7</f>
        <v>0</v>
      </c>
      <c r="G17" s="412"/>
      <c r="H17" s="43"/>
      <c r="I17" s="44" t="s">
        <v>148</v>
      </c>
      <c r="J17" s="290"/>
      <c r="K17" s="292"/>
      <c r="L17" s="292"/>
    </row>
    <row r="18" spans="2:12" x14ac:dyDescent="0.25">
      <c r="B18" s="42"/>
      <c r="C18" s="44" t="s">
        <v>108</v>
      </c>
      <c r="D18" s="44">
        <f>'Data input'!D58*$D$7</f>
        <v>0</v>
      </c>
      <c r="E18" s="412"/>
      <c r="F18" s="44">
        <f>'Data input'!F58*$F$7</f>
        <v>0</v>
      </c>
      <c r="G18" s="412"/>
      <c r="H18" s="43"/>
      <c r="I18" s="44" t="s">
        <v>148</v>
      </c>
      <c r="J18" s="290"/>
      <c r="K18" s="292"/>
      <c r="L18" s="292"/>
    </row>
    <row r="19" spans="2:12" x14ac:dyDescent="0.25">
      <c r="B19" s="42"/>
      <c r="C19" s="44" t="s">
        <v>109</v>
      </c>
      <c r="D19" s="44">
        <f>'Data input'!D59*$D$7</f>
        <v>0</v>
      </c>
      <c r="E19" s="412"/>
      <c r="F19" s="44">
        <f>'Data input'!F59*$F$7</f>
        <v>40000</v>
      </c>
      <c r="G19" s="412"/>
      <c r="H19" s="43"/>
      <c r="I19" s="44" t="s">
        <v>148</v>
      </c>
      <c r="J19" s="290"/>
      <c r="K19" s="292"/>
      <c r="L19" s="292"/>
    </row>
    <row r="20" spans="2:12" x14ac:dyDescent="0.25">
      <c r="B20" s="42"/>
      <c r="C20" s="44" t="s">
        <v>110</v>
      </c>
      <c r="D20" s="44">
        <f>'Data input'!D60*$D$7</f>
        <v>0</v>
      </c>
      <c r="E20" s="412"/>
      <c r="F20" s="44">
        <f>'Data input'!F60*$F$7</f>
        <v>0</v>
      </c>
      <c r="G20" s="412"/>
      <c r="H20" s="43"/>
      <c r="I20" s="44" t="s">
        <v>148</v>
      </c>
      <c r="J20" s="290"/>
      <c r="K20" s="292"/>
      <c r="L20" s="292"/>
    </row>
    <row r="21" spans="2:12" x14ac:dyDescent="0.25">
      <c r="B21" s="42"/>
      <c r="C21" s="44"/>
      <c r="D21" s="44"/>
      <c r="E21" s="412"/>
      <c r="F21" s="44"/>
      <c r="G21" s="412"/>
      <c r="H21" s="43"/>
      <c r="I21" s="44"/>
      <c r="J21" s="290"/>
      <c r="K21" s="292"/>
      <c r="L21" s="292"/>
    </row>
    <row r="22" spans="2:12" x14ac:dyDescent="0.25">
      <c r="B22" s="42"/>
      <c r="C22" s="44"/>
      <c r="D22" s="44" t="s">
        <v>446</v>
      </c>
      <c r="E22" s="412"/>
      <c r="F22" s="44" t="s">
        <v>444</v>
      </c>
      <c r="G22" s="412"/>
      <c r="H22" s="43"/>
      <c r="I22" s="44"/>
      <c r="J22" s="290"/>
      <c r="K22" s="292"/>
      <c r="L22" s="292"/>
    </row>
    <row r="23" spans="2:12" x14ac:dyDescent="0.25">
      <c r="B23" s="42" t="s">
        <v>448</v>
      </c>
      <c r="C23" s="44" t="s">
        <v>107</v>
      </c>
      <c r="D23" s="44">
        <f>'Data input'!D64*$D$6</f>
        <v>0</v>
      </c>
      <c r="E23" s="412"/>
      <c r="F23" s="44">
        <f>'Data input'!F64*$F$6</f>
        <v>0</v>
      </c>
      <c r="G23" s="412"/>
      <c r="H23" s="43"/>
      <c r="I23" s="44" t="s">
        <v>148</v>
      </c>
      <c r="J23" s="290"/>
      <c r="K23" s="292"/>
      <c r="L23" s="292"/>
    </row>
    <row r="24" spans="2:12" x14ac:dyDescent="0.25">
      <c r="B24" s="42"/>
      <c r="C24" s="44" t="s">
        <v>108</v>
      </c>
      <c r="D24" s="44">
        <f>'Data input'!D65*$D$6</f>
        <v>0</v>
      </c>
      <c r="E24" s="412"/>
      <c r="F24" s="44">
        <f>'Data input'!F65*$F$6</f>
        <v>0</v>
      </c>
      <c r="G24" s="412"/>
      <c r="H24" s="43"/>
      <c r="I24" s="44" t="s">
        <v>148</v>
      </c>
      <c r="J24" s="290"/>
      <c r="K24" s="292"/>
      <c r="L24" s="292"/>
    </row>
    <row r="25" spans="2:12" x14ac:dyDescent="0.25">
      <c r="B25" s="42"/>
      <c r="C25" s="44" t="s">
        <v>109</v>
      </c>
      <c r="D25" s="44">
        <f>'Data input'!D66*$D$6</f>
        <v>0</v>
      </c>
      <c r="E25" s="412"/>
      <c r="F25" s="44">
        <f>'Data input'!F66*$F$6</f>
        <v>0</v>
      </c>
      <c r="G25" s="412"/>
      <c r="H25" s="43"/>
      <c r="I25" s="44" t="s">
        <v>148</v>
      </c>
      <c r="J25" s="290"/>
      <c r="K25" s="292"/>
      <c r="L25" s="292"/>
    </row>
    <row r="26" spans="2:12" x14ac:dyDescent="0.25">
      <c r="B26" s="42"/>
      <c r="C26" s="44" t="s">
        <v>110</v>
      </c>
      <c r="D26" s="44">
        <f>'Data input'!D67*$D$6</f>
        <v>0</v>
      </c>
      <c r="E26" s="412"/>
      <c r="F26" s="44">
        <f>'Data input'!F67*$F$6</f>
        <v>0</v>
      </c>
      <c r="G26" s="412"/>
      <c r="H26" s="43"/>
      <c r="I26" s="44" t="s">
        <v>148</v>
      </c>
      <c r="J26" s="290"/>
      <c r="K26" s="292"/>
      <c r="L26" s="292"/>
    </row>
    <row r="27" spans="2:12" x14ac:dyDescent="0.25">
      <c r="B27" s="42"/>
      <c r="C27" s="44"/>
      <c r="D27" s="44"/>
      <c r="E27" s="412"/>
      <c r="F27" s="44"/>
      <c r="G27" s="412"/>
      <c r="H27" s="43"/>
      <c r="I27" s="44"/>
      <c r="J27" s="290"/>
      <c r="K27" s="292"/>
      <c r="L27" s="292"/>
    </row>
    <row r="28" spans="2:12" x14ac:dyDescent="0.25">
      <c r="B28" s="42"/>
      <c r="C28" s="44"/>
      <c r="D28" s="44" t="s">
        <v>446</v>
      </c>
      <c r="E28" s="412"/>
      <c r="F28" s="44" t="s">
        <v>444</v>
      </c>
      <c r="G28" s="412"/>
      <c r="H28" s="43"/>
      <c r="I28" s="44"/>
      <c r="J28" s="290"/>
      <c r="K28" s="292"/>
      <c r="L28" s="292"/>
    </row>
    <row r="29" spans="2:12" x14ac:dyDescent="0.25">
      <c r="B29" s="42" t="s">
        <v>449</v>
      </c>
      <c r="C29" s="44" t="s">
        <v>107</v>
      </c>
      <c r="D29" s="44">
        <f>'Data input'!D71*$D$7</f>
        <v>0</v>
      </c>
      <c r="E29" s="412"/>
      <c r="F29" s="44">
        <f>'Data input'!F71*$F$7</f>
        <v>0</v>
      </c>
      <c r="G29" s="412"/>
      <c r="H29" s="43"/>
      <c r="I29" s="44" t="s">
        <v>148</v>
      </c>
      <c r="J29" s="290"/>
      <c r="K29" s="292"/>
      <c r="L29" s="292"/>
    </row>
    <row r="30" spans="2:12" x14ac:dyDescent="0.25">
      <c r="B30" s="42"/>
      <c r="C30" s="44" t="s">
        <v>108</v>
      </c>
      <c r="D30" s="44">
        <f>'Data input'!D72*$D$7</f>
        <v>0</v>
      </c>
      <c r="E30" s="412"/>
      <c r="F30" s="44">
        <f>'Data input'!F72*$F$7</f>
        <v>0</v>
      </c>
      <c r="G30" s="412"/>
      <c r="H30" s="43"/>
      <c r="I30" s="44" t="s">
        <v>148</v>
      </c>
      <c r="J30" s="290"/>
      <c r="K30" s="292"/>
      <c r="L30" s="292"/>
    </row>
    <row r="31" spans="2:12" x14ac:dyDescent="0.25">
      <c r="B31" s="42"/>
      <c r="C31" s="44" t="s">
        <v>109</v>
      </c>
      <c r="D31" s="44">
        <f>'Data input'!D73*$D$7</f>
        <v>0</v>
      </c>
      <c r="E31" s="412"/>
      <c r="F31" s="44">
        <f>'Data input'!F73*$F$7</f>
        <v>0</v>
      </c>
      <c r="G31" s="412"/>
      <c r="H31" s="43"/>
      <c r="I31" s="44" t="s">
        <v>148</v>
      </c>
      <c r="J31" s="290"/>
      <c r="K31" s="292"/>
      <c r="L31" s="292"/>
    </row>
    <row r="32" spans="2:12" x14ac:dyDescent="0.25">
      <c r="B32" s="42"/>
      <c r="C32" s="44" t="s">
        <v>110</v>
      </c>
      <c r="D32" s="44">
        <f>'Data input'!D74*$D$7</f>
        <v>0</v>
      </c>
      <c r="E32" s="412"/>
      <c r="F32" s="44">
        <f>'Data input'!F74*$F$7</f>
        <v>0</v>
      </c>
      <c r="G32" s="412"/>
      <c r="H32" s="43"/>
      <c r="I32" s="44" t="s">
        <v>148</v>
      </c>
      <c r="J32" s="290"/>
      <c r="K32" s="292"/>
      <c r="L32" s="292"/>
    </row>
    <row r="33" spans="2:12" x14ac:dyDescent="0.25">
      <c r="B33" s="42"/>
      <c r="C33" s="44"/>
      <c r="D33" s="44"/>
      <c r="E33" s="43"/>
      <c r="F33" s="48"/>
      <c r="G33" s="43"/>
      <c r="H33" s="43"/>
      <c r="I33" s="44"/>
      <c r="J33" s="290"/>
      <c r="K33" s="292"/>
      <c r="L33" s="292"/>
    </row>
    <row r="34" spans="2:12" x14ac:dyDescent="0.25">
      <c r="B34" s="48" t="s">
        <v>83</v>
      </c>
      <c r="C34" s="46">
        <f>GWP!C15</f>
        <v>1.5714285714285714</v>
      </c>
      <c r="D34" s="44"/>
      <c r="E34" s="44"/>
      <c r="F34" s="44"/>
      <c r="G34" s="44"/>
      <c r="H34" s="44"/>
      <c r="I34" s="44"/>
      <c r="J34" s="290"/>
      <c r="K34" s="290"/>
      <c r="L34" s="290"/>
    </row>
    <row r="35" spans="2:12" x14ac:dyDescent="0.25">
      <c r="B35" s="45"/>
      <c r="C35" s="52"/>
      <c r="D35" s="45"/>
      <c r="E35" s="45"/>
      <c r="F35" s="45"/>
      <c r="G35" s="45"/>
      <c r="H35" s="45"/>
      <c r="I35" s="44"/>
      <c r="J35" s="290"/>
      <c r="K35" s="290"/>
      <c r="L35" s="290"/>
    </row>
    <row r="36" spans="2:12" x14ac:dyDescent="0.25">
      <c r="B36" s="50" t="s">
        <v>100</v>
      </c>
      <c r="C36" s="387"/>
      <c r="D36" s="50"/>
      <c r="E36" s="50"/>
      <c r="F36" s="50"/>
      <c r="G36" s="45"/>
      <c r="H36" s="45"/>
      <c r="I36" s="44"/>
      <c r="J36" s="290"/>
      <c r="K36" s="290"/>
      <c r="L36" s="290"/>
    </row>
    <row r="37" spans="2:12" x14ac:dyDescent="0.25">
      <c r="B37" s="50" t="s">
        <v>85</v>
      </c>
      <c r="C37" s="387"/>
      <c r="D37" s="50" t="s">
        <v>86</v>
      </c>
      <c r="E37" s="50"/>
      <c r="F37" s="50"/>
      <c r="G37" s="45"/>
      <c r="H37" s="45"/>
      <c r="I37" s="44"/>
      <c r="J37" s="290" t="s">
        <v>149</v>
      </c>
      <c r="K37" s="290" t="s">
        <v>275</v>
      </c>
      <c r="L37" s="290" t="s">
        <v>759</v>
      </c>
    </row>
    <row r="38" spans="2:12" x14ac:dyDescent="0.25">
      <c r="B38" s="50"/>
      <c r="C38" s="387"/>
      <c r="D38" s="50" t="s">
        <v>88</v>
      </c>
      <c r="E38" s="50"/>
      <c r="F38" s="50"/>
      <c r="G38" s="45"/>
      <c r="H38" s="45"/>
      <c r="I38" s="44"/>
      <c r="J38" s="290"/>
      <c r="K38" s="290"/>
      <c r="L38" s="290"/>
    </row>
    <row r="39" spans="2:12" x14ac:dyDescent="0.25">
      <c r="B39" s="50"/>
      <c r="C39" s="387"/>
      <c r="D39" s="50" t="s">
        <v>89</v>
      </c>
      <c r="E39" s="50"/>
      <c r="F39" s="50"/>
      <c r="G39" s="45"/>
      <c r="H39" s="45"/>
      <c r="I39" s="44"/>
      <c r="J39" s="290"/>
      <c r="K39" s="290"/>
      <c r="L39" s="290"/>
    </row>
    <row r="40" spans="2:12" x14ac:dyDescent="0.25">
      <c r="B40" s="50"/>
      <c r="C40" s="387"/>
      <c r="D40" s="50" t="s">
        <v>450</v>
      </c>
      <c r="E40" s="50">
        <v>1</v>
      </c>
      <c r="F40" s="50"/>
      <c r="G40" s="45"/>
      <c r="H40" s="45"/>
      <c r="I40" s="44"/>
      <c r="J40" s="290"/>
      <c r="K40" s="290"/>
      <c r="L40" s="290"/>
    </row>
    <row r="41" spans="2:12" x14ac:dyDescent="0.25">
      <c r="B41" s="45"/>
      <c r="C41" s="52"/>
      <c r="D41" s="45"/>
      <c r="E41" s="45"/>
      <c r="F41" s="45"/>
      <c r="G41" s="45"/>
      <c r="H41" s="45"/>
      <c r="I41" s="44"/>
      <c r="J41" s="290"/>
      <c r="K41" s="290"/>
      <c r="L41" s="290"/>
    </row>
    <row r="42" spans="2:12" x14ac:dyDescent="0.25">
      <c r="B42" s="45"/>
      <c r="C42" s="52"/>
      <c r="D42" s="45" t="s">
        <v>446</v>
      </c>
      <c r="E42" s="45"/>
      <c r="F42" s="45" t="s">
        <v>444</v>
      </c>
      <c r="G42" s="45"/>
      <c r="H42" s="45"/>
      <c r="I42" s="44"/>
      <c r="J42" s="290"/>
      <c r="K42" s="290"/>
      <c r="L42" s="290"/>
    </row>
    <row r="43" spans="2:12" x14ac:dyDescent="0.25">
      <c r="B43" s="45" t="s">
        <v>48</v>
      </c>
      <c r="C43" s="52" t="s">
        <v>107</v>
      </c>
      <c r="D43" s="45">
        <f>D11*$E$40*10^-6</f>
        <v>0</v>
      </c>
      <c r="E43" s="45"/>
      <c r="F43" s="45">
        <f>F11*$E$40*10^-6</f>
        <v>0</v>
      </c>
      <c r="G43" s="45"/>
      <c r="H43" s="45"/>
      <c r="I43" s="44" t="s">
        <v>150</v>
      </c>
      <c r="J43" s="290"/>
      <c r="K43" s="290"/>
      <c r="L43" s="290"/>
    </row>
    <row r="44" spans="2:12" x14ac:dyDescent="0.25">
      <c r="B44" s="45"/>
      <c r="C44" s="52" t="s">
        <v>108</v>
      </c>
      <c r="D44" s="45">
        <f>D12*$E$40*10^-6</f>
        <v>0</v>
      </c>
      <c r="E44" s="45"/>
      <c r="F44" s="45">
        <f>F12*$E$40*10^-6</f>
        <v>0</v>
      </c>
      <c r="G44" s="45"/>
      <c r="H44" s="45"/>
      <c r="I44" s="44" t="s">
        <v>150</v>
      </c>
      <c r="J44" s="290"/>
      <c r="K44" s="290"/>
      <c r="L44" s="290"/>
    </row>
    <row r="45" spans="2:12" x14ac:dyDescent="0.25">
      <c r="B45" s="45"/>
      <c r="C45" s="52" t="s">
        <v>109</v>
      </c>
      <c r="D45" s="45">
        <f>D13*$E$40*10^-6</f>
        <v>0</v>
      </c>
      <c r="E45" s="45"/>
      <c r="F45" s="45">
        <f>F13*$E$40*10^-6</f>
        <v>0</v>
      </c>
      <c r="G45" s="45"/>
      <c r="H45" s="45"/>
      <c r="I45" s="44" t="s">
        <v>150</v>
      </c>
      <c r="J45" s="290"/>
      <c r="K45" s="290"/>
      <c r="L45" s="290"/>
    </row>
    <row r="46" spans="2:12" x14ac:dyDescent="0.25">
      <c r="B46" s="45"/>
      <c r="C46" s="52" t="s">
        <v>110</v>
      </c>
      <c r="D46" s="45">
        <f>D14*$E$40*10^-6</f>
        <v>0</v>
      </c>
      <c r="E46" s="45"/>
      <c r="F46" s="45">
        <f>F14*$E$40*10^-6</f>
        <v>0</v>
      </c>
      <c r="G46" s="45"/>
      <c r="H46" s="45"/>
      <c r="I46" s="44" t="s">
        <v>150</v>
      </c>
      <c r="J46" s="290"/>
      <c r="K46" s="290"/>
      <c r="L46" s="290"/>
    </row>
    <row r="47" spans="2:12" x14ac:dyDescent="0.25">
      <c r="B47" s="45"/>
      <c r="C47" s="52"/>
      <c r="D47" s="45"/>
      <c r="E47" s="45"/>
      <c r="F47" s="45"/>
      <c r="G47" s="45"/>
      <c r="H47" s="45"/>
      <c r="I47" s="44"/>
      <c r="J47" s="290"/>
      <c r="K47" s="290"/>
      <c r="L47" s="290"/>
    </row>
    <row r="48" spans="2:12" x14ac:dyDescent="0.25">
      <c r="B48" s="45"/>
      <c r="C48" s="52"/>
      <c r="D48" s="45" t="s">
        <v>446</v>
      </c>
      <c r="E48" s="45"/>
      <c r="F48" s="45" t="s">
        <v>444</v>
      </c>
      <c r="G48" s="45"/>
      <c r="H48" s="45"/>
      <c r="I48" s="44"/>
      <c r="J48" s="290"/>
      <c r="K48" s="290"/>
      <c r="L48" s="290"/>
    </row>
    <row r="49" spans="2:12" x14ac:dyDescent="0.25">
      <c r="B49" s="45" t="s">
        <v>49</v>
      </c>
      <c r="C49" s="52" t="s">
        <v>107</v>
      </c>
      <c r="D49" s="45">
        <f>D17*$E$40*10^-6</f>
        <v>0</v>
      </c>
      <c r="E49" s="45"/>
      <c r="F49" s="45">
        <f>F17*$E$40*10^-6</f>
        <v>0</v>
      </c>
      <c r="G49" s="45"/>
      <c r="H49" s="45"/>
      <c r="I49" s="44" t="s">
        <v>150</v>
      </c>
      <c r="J49" s="290"/>
      <c r="K49" s="290"/>
      <c r="L49" s="290"/>
    </row>
    <row r="50" spans="2:12" x14ac:dyDescent="0.25">
      <c r="B50" s="45"/>
      <c r="C50" s="52" t="s">
        <v>108</v>
      </c>
      <c r="D50" s="45">
        <f>D18*$E$40*10^-6</f>
        <v>0</v>
      </c>
      <c r="E50" s="45"/>
      <c r="F50" s="45">
        <f>F18*$E$40*10^-6</f>
        <v>0</v>
      </c>
      <c r="G50" s="45"/>
      <c r="H50" s="45"/>
      <c r="I50" s="44" t="s">
        <v>150</v>
      </c>
      <c r="J50" s="290"/>
      <c r="K50" s="290"/>
      <c r="L50" s="290"/>
    </row>
    <row r="51" spans="2:12" x14ac:dyDescent="0.25">
      <c r="B51" s="45"/>
      <c r="C51" s="52" t="s">
        <v>109</v>
      </c>
      <c r="D51" s="45">
        <f>D19*$E$40*10^-6</f>
        <v>0</v>
      </c>
      <c r="E51" s="45"/>
      <c r="F51" s="45">
        <f>F19*$E$40*10^-6</f>
        <v>0.04</v>
      </c>
      <c r="G51" s="45"/>
      <c r="H51" s="45"/>
      <c r="I51" s="44" t="s">
        <v>150</v>
      </c>
      <c r="J51" s="290"/>
      <c r="K51" s="290"/>
      <c r="L51" s="290"/>
    </row>
    <row r="52" spans="2:12" x14ac:dyDescent="0.25">
      <c r="B52" s="45"/>
      <c r="C52" s="52" t="s">
        <v>110</v>
      </c>
      <c r="D52" s="45">
        <f>D20*$E$40*10^-6</f>
        <v>0</v>
      </c>
      <c r="E52" s="45"/>
      <c r="F52" s="45">
        <f>F20*$E$40*10^-6</f>
        <v>0</v>
      </c>
      <c r="G52" s="45"/>
      <c r="H52" s="45"/>
      <c r="I52" s="44" t="s">
        <v>150</v>
      </c>
      <c r="J52" s="290"/>
      <c r="K52" s="290"/>
      <c r="L52" s="290"/>
    </row>
    <row r="53" spans="2:12" x14ac:dyDescent="0.25">
      <c r="B53" s="45"/>
      <c r="C53" s="52"/>
      <c r="D53" s="45"/>
      <c r="E53" s="45"/>
      <c r="F53" s="45"/>
      <c r="G53" s="45"/>
      <c r="H53" s="45"/>
      <c r="I53" s="44"/>
      <c r="J53" s="290"/>
      <c r="K53" s="290"/>
      <c r="L53" s="290"/>
    </row>
    <row r="54" spans="2:12" x14ac:dyDescent="0.25">
      <c r="B54" s="50" t="s">
        <v>100</v>
      </c>
      <c r="C54" s="387"/>
      <c r="D54" s="50"/>
      <c r="E54" s="50"/>
      <c r="F54" s="50"/>
      <c r="G54" s="45"/>
      <c r="H54" s="45"/>
      <c r="I54" s="44"/>
      <c r="J54" s="290"/>
      <c r="K54" s="290"/>
      <c r="L54" s="290"/>
    </row>
    <row r="55" spans="2:12" ht="15.6" customHeight="1" x14ac:dyDescent="0.25">
      <c r="B55" s="50" t="s">
        <v>451</v>
      </c>
      <c r="C55" s="387"/>
      <c r="D55" s="50" t="s">
        <v>86</v>
      </c>
      <c r="E55" s="50"/>
      <c r="F55" s="50"/>
      <c r="G55" s="45"/>
      <c r="H55" s="45"/>
      <c r="I55" s="44"/>
      <c r="J55" s="290"/>
      <c r="K55" s="290"/>
      <c r="L55" s="290"/>
    </row>
    <row r="56" spans="2:12" x14ac:dyDescent="0.25">
      <c r="B56" s="50"/>
      <c r="C56" s="387"/>
      <c r="D56" s="50" t="s">
        <v>88</v>
      </c>
      <c r="E56" s="50"/>
      <c r="F56" s="50"/>
      <c r="G56" s="45"/>
      <c r="H56" s="45"/>
      <c r="I56" s="44"/>
      <c r="J56" s="290" t="s">
        <v>149</v>
      </c>
      <c r="K56" s="290" t="s">
        <v>275</v>
      </c>
      <c r="L56" s="290" t="s">
        <v>759</v>
      </c>
    </row>
    <row r="57" spans="2:12" ht="17.25" customHeight="1" x14ac:dyDescent="0.25">
      <c r="B57" s="50"/>
      <c r="C57" s="387"/>
      <c r="D57" s="50" t="s">
        <v>89</v>
      </c>
      <c r="E57" s="50"/>
      <c r="F57" s="50"/>
      <c r="G57" s="45"/>
      <c r="H57" s="45"/>
      <c r="I57" s="44"/>
      <c r="J57" s="290"/>
      <c r="K57" s="290"/>
      <c r="L57" s="290"/>
    </row>
    <row r="58" spans="2:12" x14ac:dyDescent="0.25">
      <c r="B58" s="50"/>
      <c r="C58" s="387"/>
      <c r="D58" s="50" t="s">
        <v>450</v>
      </c>
      <c r="E58" s="50">
        <v>1</v>
      </c>
      <c r="F58" s="50"/>
      <c r="G58" s="45"/>
      <c r="H58" s="45"/>
      <c r="I58" s="44"/>
      <c r="J58" s="290"/>
      <c r="K58" s="290"/>
      <c r="L58" s="290"/>
    </row>
    <row r="59" spans="2:12" x14ac:dyDescent="0.25">
      <c r="B59" s="45"/>
      <c r="C59" s="52"/>
      <c r="D59" s="45"/>
      <c r="E59" s="45"/>
      <c r="F59" s="45"/>
      <c r="G59" s="45"/>
      <c r="H59" s="45"/>
      <c r="I59" s="44"/>
      <c r="J59" s="290"/>
      <c r="K59" s="290"/>
      <c r="L59" s="290"/>
    </row>
    <row r="60" spans="2:12" x14ac:dyDescent="0.25">
      <c r="B60" s="45"/>
      <c r="C60" s="52"/>
      <c r="D60" s="45" t="s">
        <v>446</v>
      </c>
      <c r="E60" s="45"/>
      <c r="F60" s="45" t="s">
        <v>444</v>
      </c>
      <c r="G60" s="45"/>
      <c r="H60" s="45"/>
      <c r="I60" s="44"/>
      <c r="J60" s="290"/>
      <c r="K60" s="290"/>
      <c r="L60" s="290"/>
    </row>
    <row r="61" spans="2:12" x14ac:dyDescent="0.25">
      <c r="B61" s="45" t="s">
        <v>472</v>
      </c>
      <c r="C61" s="52" t="s">
        <v>107</v>
      </c>
      <c r="D61" s="45">
        <f>D23*$E$58*10^-6</f>
        <v>0</v>
      </c>
      <c r="E61" s="45"/>
      <c r="F61" s="45">
        <f>F23*$E$58*10^-6</f>
        <v>0</v>
      </c>
      <c r="G61" s="45"/>
      <c r="H61" s="45"/>
      <c r="I61" s="44" t="s">
        <v>150</v>
      </c>
      <c r="J61" s="290"/>
      <c r="K61" s="290"/>
      <c r="L61" s="290"/>
    </row>
    <row r="62" spans="2:12" x14ac:dyDescent="0.25">
      <c r="B62" s="45"/>
      <c r="C62" s="52" t="s">
        <v>108</v>
      </c>
      <c r="D62" s="45">
        <f>D24*$E$58*10^-6</f>
        <v>0</v>
      </c>
      <c r="E62" s="45"/>
      <c r="F62" s="45">
        <f>F24*$E$58*10^-6</f>
        <v>0</v>
      </c>
      <c r="G62" s="45"/>
      <c r="H62" s="45"/>
      <c r="I62" s="44" t="s">
        <v>150</v>
      </c>
      <c r="J62" s="290"/>
      <c r="K62" s="290"/>
      <c r="L62" s="290"/>
    </row>
    <row r="63" spans="2:12" x14ac:dyDescent="0.25">
      <c r="B63" s="45"/>
      <c r="C63" s="52" t="s">
        <v>109</v>
      </c>
      <c r="D63" s="45">
        <f>D25*$E$58*10^-6</f>
        <v>0</v>
      </c>
      <c r="E63" s="45"/>
      <c r="F63" s="45">
        <f>F25*$E$58*10^-6</f>
        <v>0</v>
      </c>
      <c r="G63" s="45"/>
      <c r="H63" s="45"/>
      <c r="I63" s="44" t="s">
        <v>150</v>
      </c>
      <c r="J63" s="290"/>
      <c r="K63" s="290"/>
      <c r="L63" s="290"/>
    </row>
    <row r="64" spans="2:12" x14ac:dyDescent="0.25">
      <c r="B64" s="45"/>
      <c r="C64" s="52" t="s">
        <v>110</v>
      </c>
      <c r="D64" s="45">
        <f>D26*$E$58*10^-6</f>
        <v>0</v>
      </c>
      <c r="E64" s="45"/>
      <c r="F64" s="45">
        <f>F26*$E$58*10^-6</f>
        <v>0</v>
      </c>
      <c r="G64" s="45"/>
      <c r="H64" s="45"/>
      <c r="I64" s="44" t="s">
        <v>150</v>
      </c>
      <c r="J64" s="290"/>
      <c r="K64" s="290"/>
      <c r="L64" s="290"/>
    </row>
    <row r="65" spans="2:12" x14ac:dyDescent="0.25">
      <c r="B65" s="45"/>
      <c r="C65" s="52"/>
      <c r="D65" s="45"/>
      <c r="E65" s="45"/>
      <c r="F65" s="45"/>
      <c r="G65" s="45"/>
      <c r="H65" s="45"/>
      <c r="I65" s="44"/>
      <c r="J65" s="290"/>
      <c r="K65" s="290"/>
      <c r="L65" s="290"/>
    </row>
    <row r="66" spans="2:12" x14ac:dyDescent="0.25">
      <c r="B66" s="45"/>
      <c r="C66" s="52"/>
      <c r="D66" s="45" t="s">
        <v>446</v>
      </c>
      <c r="E66" s="45"/>
      <c r="F66" s="45" t="s">
        <v>444</v>
      </c>
      <c r="G66" s="45"/>
      <c r="H66" s="45"/>
      <c r="I66" s="44"/>
      <c r="J66" s="290"/>
      <c r="K66" s="290"/>
      <c r="L66" s="290"/>
    </row>
    <row r="67" spans="2:12" x14ac:dyDescent="0.25">
      <c r="B67" s="45" t="s">
        <v>473</v>
      </c>
      <c r="C67" s="52" t="s">
        <v>107</v>
      </c>
      <c r="D67" s="45">
        <f>D29*$E$58*10^-6</f>
        <v>0</v>
      </c>
      <c r="E67" s="45"/>
      <c r="F67" s="45">
        <f>F29*$E$58*10^-6</f>
        <v>0</v>
      </c>
      <c r="G67" s="45"/>
      <c r="H67" s="45"/>
      <c r="I67" s="44" t="s">
        <v>150</v>
      </c>
      <c r="J67" s="290"/>
      <c r="K67" s="290"/>
      <c r="L67" s="290"/>
    </row>
    <row r="68" spans="2:12" x14ac:dyDescent="0.25">
      <c r="B68" s="45"/>
      <c r="C68" s="52" t="s">
        <v>108</v>
      </c>
      <c r="D68" s="45">
        <f>D30*$E$58*10^-6</f>
        <v>0</v>
      </c>
      <c r="E68" s="45"/>
      <c r="F68" s="45">
        <f>F30*$E$58*10^-6</f>
        <v>0</v>
      </c>
      <c r="G68" s="45"/>
      <c r="H68" s="45"/>
      <c r="I68" s="44" t="s">
        <v>150</v>
      </c>
      <c r="J68" s="290"/>
      <c r="K68" s="290"/>
      <c r="L68" s="290"/>
    </row>
    <row r="69" spans="2:12" x14ac:dyDescent="0.25">
      <c r="B69" s="45"/>
      <c r="C69" s="52" t="s">
        <v>109</v>
      </c>
      <c r="D69" s="45">
        <f>D31*$E$58*10^-6</f>
        <v>0</v>
      </c>
      <c r="E69" s="45"/>
      <c r="F69" s="45">
        <f>F31*$E$58*10^-6</f>
        <v>0</v>
      </c>
      <c r="G69" s="45"/>
      <c r="H69" s="45"/>
      <c r="I69" s="44" t="s">
        <v>150</v>
      </c>
      <c r="J69" s="290"/>
      <c r="K69" s="290"/>
      <c r="L69" s="290"/>
    </row>
    <row r="70" spans="2:12" x14ac:dyDescent="0.25">
      <c r="B70" s="45"/>
      <c r="C70" s="124" t="s">
        <v>110</v>
      </c>
      <c r="D70" s="45">
        <f>D32*$E$58*10^-6</f>
        <v>0</v>
      </c>
      <c r="E70" s="45"/>
      <c r="F70" s="45">
        <f>F32*$E$58*10^-6</f>
        <v>0</v>
      </c>
      <c r="G70" s="45"/>
      <c r="H70" s="45"/>
      <c r="I70" s="45" t="s">
        <v>150</v>
      </c>
      <c r="J70" s="292"/>
      <c r="K70" s="292"/>
      <c r="L70" s="292"/>
    </row>
    <row r="71" spans="2:12" x14ac:dyDescent="0.25">
      <c r="B71" s="137"/>
      <c r="C71" s="385"/>
      <c r="D71" s="137"/>
      <c r="E71" s="137"/>
      <c r="F71" s="137"/>
      <c r="G71" s="137"/>
      <c r="H71" s="137"/>
      <c r="I71" s="137"/>
      <c r="J71" s="294"/>
      <c r="K71" s="294"/>
      <c r="L71" s="294"/>
    </row>
    <row r="72" spans="2:12" x14ac:dyDescent="0.25">
      <c r="B72" s="45"/>
      <c r="C72" s="52"/>
      <c r="D72" s="45"/>
      <c r="E72" s="45"/>
      <c r="F72" s="45"/>
      <c r="G72" s="45"/>
      <c r="H72" s="45"/>
      <c r="I72" s="44"/>
      <c r="J72" s="290"/>
      <c r="K72" s="290"/>
      <c r="L72" s="290"/>
    </row>
    <row r="73" spans="2:12" x14ac:dyDescent="0.25">
      <c r="B73" s="48" t="s">
        <v>100</v>
      </c>
      <c r="C73" s="44"/>
      <c r="D73" s="44"/>
      <c r="E73" s="44"/>
      <c r="F73" s="44"/>
      <c r="G73" s="44"/>
      <c r="H73" s="44"/>
      <c r="I73" s="44"/>
      <c r="J73" s="290"/>
      <c r="K73" s="290"/>
      <c r="L73" s="290"/>
    </row>
    <row r="74" spans="2:12" x14ac:dyDescent="0.25">
      <c r="B74" s="48" t="s">
        <v>85</v>
      </c>
      <c r="C74" s="48" t="s">
        <v>174</v>
      </c>
      <c r="D74" s="44"/>
      <c r="E74" s="44"/>
      <c r="F74" s="44"/>
      <c r="G74" s="44"/>
      <c r="H74" s="44"/>
      <c r="I74" s="44"/>
      <c r="J74" s="290" t="s">
        <v>155</v>
      </c>
      <c r="K74" s="290" t="s">
        <v>312</v>
      </c>
      <c r="L74" s="290" t="s">
        <v>759</v>
      </c>
    </row>
    <row r="75" spans="2:12" x14ac:dyDescent="0.25">
      <c r="B75" s="44"/>
      <c r="C75" s="44" t="s">
        <v>151</v>
      </c>
      <c r="D75" s="44"/>
      <c r="E75" s="44"/>
      <c r="F75" s="44"/>
      <c r="G75" s="44"/>
      <c r="H75" s="44"/>
      <c r="I75" s="44" t="s">
        <v>87</v>
      </c>
      <c r="J75" s="290"/>
      <c r="K75" s="290"/>
      <c r="L75" s="290"/>
    </row>
    <row r="76" spans="2:12" ht="14.25" customHeight="1" x14ac:dyDescent="0.25">
      <c r="B76" s="45"/>
      <c r="C76" s="52"/>
      <c r="D76" s="45"/>
      <c r="E76" s="45"/>
      <c r="F76" s="45"/>
      <c r="G76" s="45"/>
      <c r="H76" s="45"/>
      <c r="I76" s="44"/>
      <c r="J76" s="290"/>
      <c r="K76" s="290"/>
      <c r="L76" s="290"/>
    </row>
    <row r="77" spans="2:12" x14ac:dyDescent="0.25">
      <c r="B77" s="232" t="s">
        <v>452</v>
      </c>
      <c r="C77" s="415" t="s">
        <v>153</v>
      </c>
      <c r="D77" s="45"/>
      <c r="E77" s="45"/>
      <c r="F77" s="45"/>
      <c r="G77" s="45"/>
      <c r="H77" s="45"/>
      <c r="I77" s="44"/>
      <c r="J77" s="290" t="s">
        <v>152</v>
      </c>
      <c r="K77" s="290" t="s">
        <v>459</v>
      </c>
      <c r="L77" s="290" t="s">
        <v>760</v>
      </c>
    </row>
    <row r="78" spans="2:12" x14ac:dyDescent="0.25">
      <c r="B78" s="230" t="s">
        <v>453</v>
      </c>
      <c r="C78" s="413">
        <f>'Nitrous oxide MMS'!D67</f>
        <v>4.0000000000000001E-3</v>
      </c>
      <c r="D78" s="45"/>
      <c r="E78" s="45"/>
      <c r="F78" s="45"/>
      <c r="G78" s="45"/>
      <c r="H78" s="45"/>
      <c r="I78" s="44"/>
      <c r="J78" s="290"/>
      <c r="K78" s="290"/>
      <c r="L78" s="290"/>
    </row>
    <row r="79" spans="2:12" x14ac:dyDescent="0.25">
      <c r="B79" s="230" t="s">
        <v>454</v>
      </c>
      <c r="C79" s="413">
        <f>'Nitrous oxide MMS'!D69</f>
        <v>8.5000000000000006E-3</v>
      </c>
      <c r="D79" s="45"/>
      <c r="E79" s="45"/>
      <c r="F79" s="45"/>
      <c r="G79" s="45"/>
      <c r="H79" s="45"/>
      <c r="I79" s="44"/>
      <c r="J79" s="290"/>
      <c r="K79" s="290"/>
      <c r="L79" s="290"/>
    </row>
    <row r="80" spans="2:12" x14ac:dyDescent="0.25">
      <c r="B80" s="230" t="s">
        <v>455</v>
      </c>
      <c r="C80" s="413">
        <f>'Nitrous oxide MMS'!D68</f>
        <v>2E-3</v>
      </c>
      <c r="D80" s="45"/>
      <c r="E80" s="45"/>
      <c r="F80" s="45"/>
      <c r="G80" s="45"/>
      <c r="H80" s="45"/>
      <c r="I80" s="44"/>
      <c r="J80" s="290"/>
      <c r="K80" s="290"/>
      <c r="L80" s="290"/>
    </row>
    <row r="81" spans="2:12" x14ac:dyDescent="0.25">
      <c r="B81" s="231" t="s">
        <v>456</v>
      </c>
      <c r="C81" s="414">
        <f>'Nitrous oxide MMS'!D70</f>
        <v>2E-3</v>
      </c>
      <c r="D81" s="45"/>
      <c r="E81" s="45"/>
      <c r="F81" s="45"/>
      <c r="G81" s="45"/>
      <c r="H81" s="45"/>
      <c r="I81" s="44"/>
      <c r="J81" s="290"/>
      <c r="K81" s="290"/>
      <c r="L81" s="290"/>
    </row>
    <row r="82" spans="2:12" x14ac:dyDescent="0.25">
      <c r="B82" s="45"/>
      <c r="C82" s="52"/>
      <c r="D82" s="45"/>
      <c r="E82" s="45"/>
      <c r="F82" s="45"/>
      <c r="G82" s="45"/>
      <c r="H82" s="45"/>
      <c r="I82" s="44"/>
      <c r="J82" s="290"/>
      <c r="K82" s="290"/>
      <c r="L82" s="290"/>
    </row>
    <row r="83" spans="2:12" x14ac:dyDescent="0.25">
      <c r="B83" s="48" t="s">
        <v>83</v>
      </c>
      <c r="C83" s="46">
        <f>GWP!C15</f>
        <v>1.5714285714285714</v>
      </c>
      <c r="D83" s="45"/>
      <c r="E83" s="45"/>
      <c r="F83" s="45"/>
      <c r="G83" s="45"/>
      <c r="H83" s="45"/>
      <c r="I83" s="44"/>
      <c r="J83" s="290"/>
      <c r="K83" s="290"/>
      <c r="L83" s="290"/>
    </row>
    <row r="84" spans="2:12" x14ac:dyDescent="0.25">
      <c r="B84" s="45"/>
      <c r="C84" s="52"/>
      <c r="D84" s="45"/>
      <c r="E84" s="45"/>
      <c r="F84" s="45"/>
      <c r="G84" s="45"/>
      <c r="H84" s="45"/>
      <c r="I84" s="44"/>
      <c r="J84" s="290"/>
      <c r="K84" s="290"/>
      <c r="L84" s="290"/>
    </row>
    <row r="85" spans="2:12" x14ac:dyDescent="0.25">
      <c r="B85" s="50" t="s">
        <v>460</v>
      </c>
      <c r="C85" s="52"/>
      <c r="D85" s="45"/>
      <c r="E85" s="45"/>
      <c r="F85" s="45"/>
      <c r="G85" s="45"/>
      <c r="H85" s="45"/>
      <c r="I85" s="44"/>
      <c r="J85" s="290"/>
      <c r="K85" s="290"/>
      <c r="L85" s="290"/>
    </row>
    <row r="86" spans="2:12" x14ac:dyDescent="0.25">
      <c r="B86" s="45"/>
      <c r="C86" s="52"/>
      <c r="D86" s="45"/>
      <c r="E86" s="45"/>
      <c r="F86" s="45"/>
      <c r="G86" s="45"/>
      <c r="H86" s="45"/>
      <c r="I86" s="44"/>
      <c r="J86" s="290"/>
      <c r="K86" s="290"/>
      <c r="L86" s="290"/>
    </row>
    <row r="87" spans="2:12" x14ac:dyDescent="0.25">
      <c r="B87" s="50" t="s">
        <v>457</v>
      </c>
      <c r="C87" s="52"/>
      <c r="D87" s="45" t="s">
        <v>446</v>
      </c>
      <c r="E87" s="45"/>
      <c r="F87" s="45" t="s">
        <v>444</v>
      </c>
      <c r="G87" s="45"/>
      <c r="H87" s="45"/>
      <c r="I87" s="44"/>
      <c r="J87" s="290"/>
      <c r="K87" s="290"/>
      <c r="L87" s="290"/>
    </row>
    <row r="88" spans="2:12" x14ac:dyDescent="0.25">
      <c r="B88" s="45"/>
      <c r="C88" s="52" t="s">
        <v>107</v>
      </c>
      <c r="D88" s="45">
        <f>D43*$C$81*$C$83</f>
        <v>0</v>
      </c>
      <c r="E88" s="45"/>
      <c r="F88" s="45">
        <f>F43*$C$79*$C$83</f>
        <v>0</v>
      </c>
      <c r="G88" s="45"/>
      <c r="H88" s="45"/>
      <c r="I88" s="44" t="s">
        <v>161</v>
      </c>
      <c r="J88" s="290"/>
      <c r="K88" s="290"/>
      <c r="L88" s="290"/>
    </row>
    <row r="89" spans="2:12" x14ac:dyDescent="0.25">
      <c r="B89" s="45"/>
      <c r="C89" s="52" t="s">
        <v>108</v>
      </c>
      <c r="D89" s="45">
        <f>D44*$C$81*$C$83</f>
        <v>0</v>
      </c>
      <c r="E89" s="45"/>
      <c r="F89" s="45">
        <f t="shared" ref="F89:F91" si="0">F44*$C$79*$C$83</f>
        <v>0</v>
      </c>
      <c r="G89" s="45"/>
      <c r="H89" s="45"/>
      <c r="I89" s="44" t="s">
        <v>161</v>
      </c>
      <c r="J89" s="290"/>
      <c r="K89" s="290"/>
      <c r="L89" s="290"/>
    </row>
    <row r="90" spans="2:12" x14ac:dyDescent="0.25">
      <c r="B90" s="45"/>
      <c r="C90" s="52" t="s">
        <v>109</v>
      </c>
      <c r="D90" s="45">
        <f>D45*$C$81*$C$83</f>
        <v>0</v>
      </c>
      <c r="E90" s="45"/>
      <c r="F90" s="45">
        <f t="shared" si="0"/>
        <v>0</v>
      </c>
      <c r="G90" s="45"/>
      <c r="H90" s="45"/>
      <c r="I90" s="44" t="s">
        <v>161</v>
      </c>
      <c r="J90" s="290"/>
      <c r="K90" s="290"/>
      <c r="L90" s="290"/>
    </row>
    <row r="91" spans="2:12" x14ac:dyDescent="0.25">
      <c r="B91" s="45"/>
      <c r="C91" s="52" t="s">
        <v>110</v>
      </c>
      <c r="D91" s="45">
        <f>D46*$C$81*$C$83</f>
        <v>0</v>
      </c>
      <c r="E91" s="45"/>
      <c r="F91" s="45">
        <f t="shared" si="0"/>
        <v>0</v>
      </c>
      <c r="G91" s="45"/>
      <c r="H91" s="45"/>
      <c r="I91" s="44" t="s">
        <v>161</v>
      </c>
      <c r="J91" s="290"/>
      <c r="K91" s="290"/>
      <c r="L91" s="290"/>
    </row>
    <row r="92" spans="2:12" x14ac:dyDescent="0.25">
      <c r="B92" s="45"/>
      <c r="C92" s="52"/>
      <c r="D92" s="45"/>
      <c r="E92" s="45"/>
      <c r="F92" s="45"/>
      <c r="G92" s="45"/>
      <c r="H92" s="45"/>
      <c r="I92" s="44"/>
      <c r="J92" s="290"/>
      <c r="K92" s="290"/>
      <c r="L92" s="290"/>
    </row>
    <row r="93" spans="2:12" x14ac:dyDescent="0.25">
      <c r="B93" s="50" t="s">
        <v>458</v>
      </c>
      <c r="C93" s="52"/>
      <c r="D93" s="45" t="s">
        <v>446</v>
      </c>
      <c r="E93" s="45"/>
      <c r="F93" s="45" t="s">
        <v>444</v>
      </c>
      <c r="G93" s="45"/>
      <c r="H93" s="45"/>
      <c r="I93" s="44"/>
      <c r="J93" s="290"/>
      <c r="K93" s="290"/>
      <c r="L93" s="290"/>
    </row>
    <row r="94" spans="2:12" x14ac:dyDescent="0.25">
      <c r="B94" s="45"/>
      <c r="C94" s="52" t="s">
        <v>107</v>
      </c>
      <c r="D94" s="45">
        <f>D49*$C$80*$C$83</f>
        <v>0</v>
      </c>
      <c r="E94" s="45"/>
      <c r="F94" s="45">
        <f>F49*$C$78*$C$83</f>
        <v>0</v>
      </c>
      <c r="G94" s="45"/>
      <c r="H94" s="45"/>
      <c r="I94" s="44" t="s">
        <v>161</v>
      </c>
      <c r="J94" s="290"/>
      <c r="K94" s="290"/>
      <c r="L94" s="290"/>
    </row>
    <row r="95" spans="2:12" x14ac:dyDescent="0.25">
      <c r="B95" s="45"/>
      <c r="C95" s="52" t="s">
        <v>108</v>
      </c>
      <c r="D95" s="45">
        <f t="shared" ref="D95:D97" si="1">D50*$C$80*$C$83</f>
        <v>0</v>
      </c>
      <c r="E95" s="45"/>
      <c r="F95" s="45">
        <f t="shared" ref="F95:F97" si="2">F50*$C$78*$C$83</f>
        <v>0</v>
      </c>
      <c r="G95" s="45"/>
      <c r="H95" s="45"/>
      <c r="I95" s="44" t="s">
        <v>161</v>
      </c>
      <c r="J95" s="290"/>
      <c r="K95" s="290"/>
      <c r="L95" s="290"/>
    </row>
    <row r="96" spans="2:12" x14ac:dyDescent="0.25">
      <c r="B96" s="45"/>
      <c r="C96" s="52" t="s">
        <v>109</v>
      </c>
      <c r="D96" s="45">
        <f>D51*$C$80*$C$83</f>
        <v>0</v>
      </c>
      <c r="E96" s="45"/>
      <c r="F96" s="45">
        <f t="shared" si="2"/>
        <v>2.5142857142857145E-4</v>
      </c>
      <c r="G96" s="45"/>
      <c r="H96" s="45"/>
      <c r="I96" s="44" t="s">
        <v>161</v>
      </c>
      <c r="J96" s="290"/>
      <c r="K96" s="290"/>
      <c r="L96" s="290"/>
    </row>
    <row r="97" spans="2:12" x14ac:dyDescent="0.25">
      <c r="B97" s="45"/>
      <c r="C97" s="52" t="s">
        <v>110</v>
      </c>
      <c r="D97" s="45">
        <f t="shared" si="1"/>
        <v>0</v>
      </c>
      <c r="E97" s="45"/>
      <c r="F97" s="45">
        <f t="shared" si="2"/>
        <v>0</v>
      </c>
      <c r="G97" s="45"/>
      <c r="H97" s="45"/>
      <c r="I97" s="44" t="s">
        <v>161</v>
      </c>
      <c r="J97" s="290"/>
      <c r="K97" s="290"/>
      <c r="L97" s="290"/>
    </row>
    <row r="98" spans="2:12" x14ac:dyDescent="0.25">
      <c r="B98" s="45"/>
      <c r="C98" s="52"/>
      <c r="D98" s="45"/>
      <c r="E98" s="45"/>
      <c r="F98" s="45"/>
      <c r="G98" s="45"/>
      <c r="H98" s="45"/>
      <c r="I98" s="44"/>
      <c r="J98" s="290"/>
      <c r="K98" s="290"/>
      <c r="L98" s="290"/>
    </row>
    <row r="99" spans="2:12" x14ac:dyDescent="0.25">
      <c r="B99" s="48" t="s">
        <v>807</v>
      </c>
      <c r="C99" s="125">
        <f>SUM(D88:D91,F88:F91,D94:D97,F94:F97)</f>
        <v>2.5142857142857145E-4</v>
      </c>
      <c r="D99" s="44"/>
      <c r="E99" s="44"/>
      <c r="F99" s="44"/>
      <c r="G99" s="44"/>
      <c r="H99" s="44"/>
      <c r="I99" s="48" t="s">
        <v>154</v>
      </c>
      <c r="J99" s="290"/>
      <c r="K99" s="291"/>
      <c r="L99" s="291"/>
    </row>
    <row r="100" spans="2:12" x14ac:dyDescent="0.25">
      <c r="B100" s="48" t="s">
        <v>807</v>
      </c>
      <c r="C100" s="46">
        <f>C99*GWP!C6</f>
        <v>7.492571428571429E-2</v>
      </c>
      <c r="D100" s="44"/>
      <c r="E100" s="44"/>
      <c r="F100" s="44"/>
      <c r="G100" s="44"/>
      <c r="H100" s="44"/>
      <c r="I100" s="48" t="s">
        <v>70</v>
      </c>
      <c r="J100" s="290"/>
      <c r="K100" s="291"/>
      <c r="L100" s="291"/>
    </row>
    <row r="101" spans="2:12" x14ac:dyDescent="0.25">
      <c r="B101" s="119" t="s">
        <v>807</v>
      </c>
      <c r="C101" s="317">
        <f>C100*10^3</f>
        <v>74.925714285714292</v>
      </c>
      <c r="D101" s="137"/>
      <c r="E101" s="137"/>
      <c r="F101" s="137"/>
      <c r="G101" s="137"/>
      <c r="H101" s="137"/>
      <c r="I101" s="119" t="s">
        <v>119</v>
      </c>
      <c r="J101" s="294"/>
      <c r="K101" s="568"/>
      <c r="L101" s="568"/>
    </row>
    <row r="102" spans="2:12" x14ac:dyDescent="0.25">
      <c r="B102" s="45"/>
      <c r="C102" s="44"/>
      <c r="D102" s="45"/>
      <c r="E102" s="45"/>
      <c r="F102" s="45"/>
      <c r="G102" s="45"/>
      <c r="H102" s="45"/>
      <c r="I102" s="44"/>
      <c r="J102" s="290"/>
      <c r="K102" s="290"/>
      <c r="L102" s="290"/>
    </row>
    <row r="103" spans="2:12" ht="18.75" x14ac:dyDescent="0.3">
      <c r="B103" s="323" t="s">
        <v>284</v>
      </c>
      <c r="C103" s="44"/>
      <c r="D103" s="45"/>
      <c r="E103" s="45"/>
      <c r="F103" s="45"/>
      <c r="G103" s="45"/>
      <c r="H103" s="45"/>
      <c r="I103" s="44"/>
      <c r="J103" s="290"/>
      <c r="K103" s="291"/>
      <c r="L103" s="291"/>
    </row>
    <row r="104" spans="2:12" x14ac:dyDescent="0.25">
      <c r="B104" s="45"/>
      <c r="C104" s="44"/>
      <c r="D104" s="45"/>
      <c r="E104" s="45"/>
      <c r="F104" s="45"/>
      <c r="G104" s="45"/>
      <c r="H104" s="45"/>
      <c r="I104" s="44"/>
      <c r="J104" s="290"/>
      <c r="K104" s="291"/>
      <c r="L104" s="291"/>
    </row>
    <row r="105" spans="2:12" x14ac:dyDescent="0.25">
      <c r="B105" s="319"/>
      <c r="C105" s="320" t="str">
        <f>'Data input'!C96</f>
        <v>Pasture</v>
      </c>
      <c r="D105" s="320" t="str">
        <f>'Data input'!D96</f>
        <v>Anaerobic Lagoon</v>
      </c>
      <c r="E105" s="320" t="str">
        <f>'Data input'!E96</f>
        <v>Sump and Dispersal</v>
      </c>
      <c r="F105" s="320" t="str">
        <f>'Data input'!F96</f>
        <v>Drain to Paddocks</v>
      </c>
      <c r="G105" s="320" t="str">
        <f>'Data input'!G96</f>
        <v>Soild Storage</v>
      </c>
      <c r="H105" s="320"/>
      <c r="I105" s="141"/>
      <c r="J105" s="292"/>
      <c r="K105" s="416"/>
      <c r="L105" s="416"/>
    </row>
    <row r="106" spans="2:12" x14ac:dyDescent="0.25">
      <c r="B106" s="230" t="s">
        <v>146</v>
      </c>
      <c r="C106" s="321">
        <f>'Data input'!C97/100</f>
        <v>0.84290000000000009</v>
      </c>
      <c r="D106" s="321">
        <f>'Data input'!D97/100</f>
        <v>0.11599999999999999</v>
      </c>
      <c r="E106" s="321">
        <f>'Data input'!E97/100</f>
        <v>1.1000000000000001E-2</v>
      </c>
      <c r="F106" s="321">
        <f>'Data input'!F97/100</f>
        <v>5.5000000000000005E-3</v>
      </c>
      <c r="G106" s="321">
        <f>'Data input'!G97/100</f>
        <v>2.46E-2</v>
      </c>
      <c r="H106" s="321"/>
      <c r="I106" s="143" t="s">
        <v>294</v>
      </c>
      <c r="J106" s="292"/>
      <c r="K106" s="292"/>
      <c r="L106" s="292"/>
    </row>
    <row r="107" spans="2:12" x14ac:dyDescent="0.25">
      <c r="B107" s="231" t="s">
        <v>147</v>
      </c>
      <c r="C107" s="322">
        <f>'Data input'!C98/100</f>
        <v>1</v>
      </c>
      <c r="D107" s="322">
        <f>'Data input'!D98/100</f>
        <v>0</v>
      </c>
      <c r="E107" s="322">
        <f>'Data input'!E98/100</f>
        <v>0</v>
      </c>
      <c r="F107" s="322">
        <f>'Data input'!F98/100</f>
        <v>0</v>
      </c>
      <c r="G107" s="322">
        <f>'Data input'!G98/100</f>
        <v>0</v>
      </c>
      <c r="H107" s="322"/>
      <c r="I107" s="146" t="s">
        <v>294</v>
      </c>
      <c r="J107" s="290"/>
      <c r="K107" s="290"/>
      <c r="L107" s="290"/>
    </row>
    <row r="108" spans="2:12" x14ac:dyDescent="0.25">
      <c r="B108" s="45"/>
      <c r="C108" s="44"/>
      <c r="D108" s="45"/>
      <c r="E108" s="45"/>
      <c r="F108" s="45"/>
      <c r="G108" s="45"/>
      <c r="H108" s="45"/>
      <c r="I108" s="44"/>
      <c r="J108" s="290"/>
      <c r="K108" s="290"/>
      <c r="L108" s="290"/>
    </row>
    <row r="109" spans="2:12" x14ac:dyDescent="0.25">
      <c r="B109" s="45"/>
      <c r="C109" s="44"/>
      <c r="D109" s="45"/>
      <c r="E109" s="45"/>
      <c r="F109" s="45"/>
      <c r="G109" s="45"/>
      <c r="H109" s="45"/>
      <c r="I109" s="44"/>
      <c r="J109" s="290"/>
      <c r="K109" s="290"/>
      <c r="L109" s="290"/>
    </row>
    <row r="110" spans="2:12" x14ac:dyDescent="0.25">
      <c r="B110" s="50" t="s">
        <v>167</v>
      </c>
      <c r="C110" s="298" t="s">
        <v>114</v>
      </c>
      <c r="D110" s="299" t="str">
        <f>'Data input'!D7</f>
        <v>Milking Cows</v>
      </c>
      <c r="E110" s="299" t="str">
        <f>'Data input'!E7</f>
        <v xml:space="preserve">Heifers &gt;1 </v>
      </c>
      <c r="F110" s="299" t="str">
        <f>'Data input'!F7</f>
        <v xml:space="preserve">Heifers &lt;1 </v>
      </c>
      <c r="G110" s="299" t="str">
        <f>'Data input'!G7</f>
        <v>Dairy Bulls&gt;1</v>
      </c>
      <c r="H110" s="299" t="str">
        <f>'Data input'!H7</f>
        <v>Dairy Bulls&lt;1</v>
      </c>
      <c r="I110" s="299" t="str">
        <f>'Data input'!I7</f>
        <v>Units</v>
      </c>
      <c r="J110" s="290"/>
      <c r="K110" s="290"/>
      <c r="L110" s="290"/>
    </row>
    <row r="111" spans="2:12" x14ac:dyDescent="0.25">
      <c r="B111" s="45"/>
      <c r="C111" s="126" t="s">
        <v>107</v>
      </c>
      <c r="D111" s="300">
        <f>'Nitrous oxide MMS'!M57</f>
        <v>1.3587530535117515E-2</v>
      </c>
      <c r="E111" s="300">
        <f>'Nitrous oxide MMS'!N57</f>
        <v>1.0148145137082914E-3</v>
      </c>
      <c r="F111" s="300">
        <f>'Nitrous oxide MMS'!O57</f>
        <v>5.7270435484076002E-4</v>
      </c>
      <c r="G111" s="300">
        <f>'Nitrous oxide MMS'!P57</f>
        <v>1.2807195902984679E-3</v>
      </c>
      <c r="H111" s="300">
        <f>'Nitrous oxide MMS'!Q57</f>
        <v>6.9568676063278911E-4</v>
      </c>
      <c r="I111" s="126" t="s">
        <v>141</v>
      </c>
      <c r="J111" s="290"/>
      <c r="K111" s="290"/>
      <c r="L111" s="290"/>
    </row>
    <row r="112" spans="2:12" x14ac:dyDescent="0.25">
      <c r="B112" s="45"/>
      <c r="C112" s="126" t="s">
        <v>108</v>
      </c>
      <c r="D112" s="300">
        <f>'Nitrous oxide MMS'!M58</f>
        <v>1.3587530535117515E-2</v>
      </c>
      <c r="E112" s="300">
        <f>'Nitrous oxide MMS'!N58</f>
        <v>1.0148145137082914E-3</v>
      </c>
      <c r="F112" s="300">
        <f>'Nitrous oxide MMS'!O58</f>
        <v>5.7270435484076002E-4</v>
      </c>
      <c r="G112" s="300">
        <f>'Nitrous oxide MMS'!P58</f>
        <v>1.2807195902984679E-3</v>
      </c>
      <c r="H112" s="300">
        <f>'Nitrous oxide MMS'!Q58</f>
        <v>6.9568676063278911E-4</v>
      </c>
      <c r="I112" s="126" t="s">
        <v>141</v>
      </c>
      <c r="J112" s="290"/>
      <c r="K112" s="290"/>
      <c r="L112" s="290"/>
    </row>
    <row r="113" spans="2:12" x14ac:dyDescent="0.25">
      <c r="B113" s="45"/>
      <c r="C113" s="126" t="s">
        <v>109</v>
      </c>
      <c r="D113" s="300">
        <f>'Nitrous oxide MMS'!M59</f>
        <v>1.3587530535117515E-2</v>
      </c>
      <c r="E113" s="300">
        <f>'Nitrous oxide MMS'!N59</f>
        <v>1.0148145137082914E-3</v>
      </c>
      <c r="F113" s="300">
        <f>'Nitrous oxide MMS'!O59</f>
        <v>5.7270435484076002E-4</v>
      </c>
      <c r="G113" s="300">
        <f>'Nitrous oxide MMS'!P59</f>
        <v>1.2807195902984679E-3</v>
      </c>
      <c r="H113" s="300">
        <f>'Nitrous oxide MMS'!Q59</f>
        <v>6.9568676063278911E-4</v>
      </c>
      <c r="I113" s="126" t="s">
        <v>141</v>
      </c>
      <c r="J113" s="290"/>
      <c r="K113" s="290"/>
      <c r="L113" s="290"/>
    </row>
    <row r="114" spans="2:12" x14ac:dyDescent="0.25">
      <c r="B114" s="45"/>
      <c r="C114" s="126" t="s">
        <v>110</v>
      </c>
      <c r="D114" s="300">
        <f>'Nitrous oxide MMS'!M60</f>
        <v>1.3587530535117515E-2</v>
      </c>
      <c r="E114" s="300">
        <f>'Nitrous oxide MMS'!N60</f>
        <v>1.0148145137082914E-3</v>
      </c>
      <c r="F114" s="300">
        <f>'Nitrous oxide MMS'!O60</f>
        <v>5.7270435484076002E-4</v>
      </c>
      <c r="G114" s="300">
        <f>'Nitrous oxide MMS'!P60</f>
        <v>1.2807195902984679E-3</v>
      </c>
      <c r="H114" s="300">
        <f>'Nitrous oxide MMS'!Q60</f>
        <v>6.9568676063278911E-4</v>
      </c>
      <c r="I114" s="126" t="s">
        <v>141</v>
      </c>
      <c r="J114" s="290"/>
      <c r="K114" s="290"/>
      <c r="L114" s="290"/>
    </row>
    <row r="115" spans="2:12" x14ac:dyDescent="0.25">
      <c r="B115" s="45"/>
      <c r="C115" s="126"/>
      <c r="D115" s="300"/>
      <c r="E115" s="300"/>
      <c r="F115" s="300"/>
      <c r="G115" s="300"/>
      <c r="H115" s="300"/>
      <c r="I115" s="126"/>
      <c r="J115" s="290"/>
      <c r="K115" s="290"/>
      <c r="L115" s="290"/>
    </row>
    <row r="116" spans="2:12" x14ac:dyDescent="0.25">
      <c r="B116" s="50" t="s">
        <v>313</v>
      </c>
      <c r="C116" s="126" t="s">
        <v>107</v>
      </c>
      <c r="D116" s="300">
        <f>'Nitrous oxide MMS'!M187</f>
        <v>1.0027597534916726E-4</v>
      </c>
      <c r="E116" s="300">
        <f>'Nitrous oxide MMS'!N187</f>
        <v>0</v>
      </c>
      <c r="F116" s="300">
        <f>'Nitrous oxide MMS'!O187</f>
        <v>0</v>
      </c>
      <c r="G116" s="300">
        <f>'Nitrous oxide MMS'!P187</f>
        <v>0</v>
      </c>
      <c r="H116" s="300">
        <f>'Nitrous oxide MMS'!Q187</f>
        <v>0</v>
      </c>
      <c r="I116" s="126" t="s">
        <v>141</v>
      </c>
      <c r="J116" s="290"/>
      <c r="K116" s="290"/>
      <c r="L116" s="290"/>
    </row>
    <row r="117" spans="2:12" x14ac:dyDescent="0.25">
      <c r="B117" s="45"/>
      <c r="C117" s="126" t="s">
        <v>108</v>
      </c>
      <c r="D117" s="300">
        <f>'Nitrous oxide MMS'!M188</f>
        <v>1.0027597534916726E-4</v>
      </c>
      <c r="E117" s="300">
        <f>'Nitrous oxide MMS'!N188</f>
        <v>0</v>
      </c>
      <c r="F117" s="300">
        <f>'Nitrous oxide MMS'!O188</f>
        <v>0</v>
      </c>
      <c r="G117" s="300">
        <f>'Nitrous oxide MMS'!P188</f>
        <v>0</v>
      </c>
      <c r="H117" s="300">
        <f>'Nitrous oxide MMS'!Q188</f>
        <v>0</v>
      </c>
      <c r="I117" s="126" t="s">
        <v>141</v>
      </c>
      <c r="J117" s="290"/>
      <c r="K117" s="290"/>
      <c r="L117" s="290"/>
    </row>
    <row r="118" spans="2:12" x14ac:dyDescent="0.25">
      <c r="B118" s="45"/>
      <c r="C118" s="126" t="s">
        <v>109</v>
      </c>
      <c r="D118" s="300">
        <f>'Nitrous oxide MMS'!M189</f>
        <v>1.0027597534916726E-4</v>
      </c>
      <c r="E118" s="300">
        <f>'Nitrous oxide MMS'!N189</f>
        <v>0</v>
      </c>
      <c r="F118" s="300">
        <f>'Nitrous oxide MMS'!O189</f>
        <v>0</v>
      </c>
      <c r="G118" s="300">
        <f>'Nitrous oxide MMS'!P189</f>
        <v>0</v>
      </c>
      <c r="H118" s="300">
        <f>'Nitrous oxide MMS'!Q189</f>
        <v>0</v>
      </c>
      <c r="I118" s="126" t="s">
        <v>141</v>
      </c>
      <c r="J118" s="290"/>
      <c r="K118" s="290"/>
      <c r="L118" s="290"/>
    </row>
    <row r="119" spans="2:12" x14ac:dyDescent="0.25">
      <c r="B119" s="45"/>
      <c r="C119" s="126" t="s">
        <v>110</v>
      </c>
      <c r="D119" s="300">
        <f>'Nitrous oxide MMS'!M190</f>
        <v>1.0027597534916726E-4</v>
      </c>
      <c r="E119" s="300">
        <f>'Nitrous oxide MMS'!N190</f>
        <v>0</v>
      </c>
      <c r="F119" s="300">
        <f>'Nitrous oxide MMS'!O190</f>
        <v>0</v>
      </c>
      <c r="G119" s="300">
        <f>'Nitrous oxide MMS'!P190</f>
        <v>0</v>
      </c>
      <c r="H119" s="300">
        <f>'Nitrous oxide MMS'!Q190</f>
        <v>0</v>
      </c>
      <c r="I119" s="126" t="s">
        <v>141</v>
      </c>
      <c r="J119" s="290"/>
      <c r="K119" s="290"/>
      <c r="L119" s="290"/>
    </row>
    <row r="120" spans="2:12" x14ac:dyDescent="0.25">
      <c r="B120" s="45"/>
      <c r="C120" s="44"/>
      <c r="D120" s="45"/>
      <c r="E120" s="45"/>
      <c r="F120" s="45"/>
      <c r="G120" s="45"/>
      <c r="H120" s="45"/>
      <c r="I120" s="44"/>
      <c r="J120" s="290"/>
      <c r="K120" s="290"/>
      <c r="L120" s="290"/>
    </row>
    <row r="121" spans="2:12" x14ac:dyDescent="0.25">
      <c r="B121" s="45"/>
      <c r="C121" s="48" t="s">
        <v>425</v>
      </c>
      <c r="D121" s="45"/>
      <c r="E121" s="45"/>
      <c r="F121" s="45"/>
      <c r="G121" s="45"/>
      <c r="H121" s="45"/>
      <c r="I121" s="44"/>
      <c r="J121" s="290" t="s">
        <v>156</v>
      </c>
      <c r="K121" s="290" t="s">
        <v>314</v>
      </c>
      <c r="L121" s="290" t="s">
        <v>760</v>
      </c>
    </row>
    <row r="122" spans="2:12" x14ac:dyDescent="0.25">
      <c r="B122" s="45"/>
      <c r="C122" s="44" t="s">
        <v>276</v>
      </c>
      <c r="D122" s="45"/>
      <c r="E122" s="45"/>
      <c r="F122" s="45"/>
      <c r="G122" s="45"/>
      <c r="H122" s="45"/>
      <c r="I122" s="44"/>
      <c r="J122" s="290"/>
      <c r="K122" s="290"/>
      <c r="L122" s="290"/>
    </row>
    <row r="123" spans="2:12" x14ac:dyDescent="0.25">
      <c r="B123" s="45"/>
      <c r="C123" s="44" t="s">
        <v>277</v>
      </c>
      <c r="D123" s="45"/>
      <c r="E123" s="45"/>
      <c r="F123" s="45"/>
      <c r="G123" s="45"/>
      <c r="H123" s="45"/>
      <c r="I123" s="44"/>
      <c r="J123" s="290"/>
      <c r="K123" s="290"/>
      <c r="L123" s="290"/>
    </row>
    <row r="124" spans="2:12" x14ac:dyDescent="0.25">
      <c r="B124" s="45"/>
      <c r="C124" s="44" t="s">
        <v>278</v>
      </c>
      <c r="D124" s="45"/>
      <c r="E124" s="45"/>
      <c r="F124" s="45"/>
      <c r="G124" s="45"/>
      <c r="H124" s="45"/>
      <c r="I124" s="44"/>
      <c r="J124" s="290"/>
      <c r="K124" s="290"/>
      <c r="L124" s="290"/>
    </row>
    <row r="125" spans="2:12" x14ac:dyDescent="0.25">
      <c r="B125" s="45"/>
      <c r="C125" s="44" t="s">
        <v>279</v>
      </c>
      <c r="D125" s="45"/>
      <c r="E125" s="45"/>
      <c r="F125" s="45"/>
      <c r="G125" s="45"/>
      <c r="H125" s="45"/>
      <c r="I125" s="44"/>
      <c r="J125" s="290"/>
      <c r="K125" s="290"/>
      <c r="L125" s="290"/>
    </row>
    <row r="126" spans="2:12" x14ac:dyDescent="0.25">
      <c r="B126" s="45"/>
      <c r="C126" s="44"/>
      <c r="D126" s="45"/>
      <c r="E126" s="45"/>
      <c r="F126" s="45"/>
      <c r="G126" s="45"/>
      <c r="H126" s="45"/>
      <c r="I126" s="44"/>
      <c r="J126" s="290"/>
      <c r="K126" s="290"/>
      <c r="L126" s="290"/>
    </row>
    <row r="127" spans="2:12" x14ac:dyDescent="0.25">
      <c r="B127" s="45"/>
      <c r="C127" s="48" t="s">
        <v>468</v>
      </c>
      <c r="D127" s="45"/>
      <c r="E127" s="45"/>
      <c r="F127" s="45"/>
      <c r="G127" s="45"/>
      <c r="H127" s="45"/>
      <c r="I127" s="44"/>
      <c r="J127" s="290"/>
      <c r="K127" s="290" t="s">
        <v>773</v>
      </c>
      <c r="L127" s="290"/>
    </row>
    <row r="128" spans="2:12" x14ac:dyDescent="0.25">
      <c r="B128" s="45"/>
      <c r="C128" s="319" t="s">
        <v>461</v>
      </c>
      <c r="D128" s="304" t="s">
        <v>324</v>
      </c>
      <c r="E128" s="141" t="s">
        <v>464</v>
      </c>
      <c r="F128" s="45"/>
      <c r="G128" s="45"/>
      <c r="H128" s="45"/>
      <c r="I128" s="44"/>
      <c r="J128" s="290"/>
      <c r="K128" s="290"/>
      <c r="L128" s="290"/>
    </row>
    <row r="129" spans="2:12" ht="31.5" x14ac:dyDescent="0.25">
      <c r="B129" s="417"/>
      <c r="C129" s="421"/>
      <c r="D129" s="422" t="s">
        <v>462</v>
      </c>
      <c r="E129" s="423" t="s">
        <v>462</v>
      </c>
      <c r="F129" s="417"/>
      <c r="G129" s="417"/>
      <c r="H129" s="417"/>
      <c r="I129" s="418"/>
      <c r="J129" s="419"/>
      <c r="K129" s="419"/>
      <c r="L129" s="419"/>
    </row>
    <row r="130" spans="2:12" x14ac:dyDescent="0.25">
      <c r="B130" s="45"/>
      <c r="C130" s="230" t="s">
        <v>465</v>
      </c>
      <c r="D130" s="45">
        <v>0</v>
      </c>
      <c r="E130" s="143">
        <v>0.35</v>
      </c>
      <c r="F130" s="45"/>
      <c r="G130" s="45"/>
      <c r="H130" s="45"/>
      <c r="I130" s="44"/>
      <c r="J130" s="290"/>
      <c r="K130" s="290"/>
      <c r="L130" s="290"/>
    </row>
    <row r="131" spans="2:12" x14ac:dyDescent="0.25">
      <c r="B131" s="45"/>
      <c r="C131" s="230" t="s">
        <v>466</v>
      </c>
      <c r="D131" s="45">
        <v>0</v>
      </c>
      <c r="E131" s="143">
        <v>7.0000000000000007E-2</v>
      </c>
      <c r="F131" s="45"/>
      <c r="G131" s="45"/>
      <c r="H131" s="45"/>
      <c r="I131" s="44"/>
      <c r="J131" s="290"/>
      <c r="K131" s="290"/>
      <c r="L131" s="290"/>
    </row>
    <row r="132" spans="2:12" x14ac:dyDescent="0.25">
      <c r="B132" s="45"/>
      <c r="C132" s="230" t="s">
        <v>467</v>
      </c>
      <c r="D132" s="45">
        <v>0</v>
      </c>
      <c r="E132" s="143">
        <v>0.2</v>
      </c>
      <c r="F132" s="45"/>
      <c r="G132" s="45"/>
      <c r="H132" s="45"/>
      <c r="I132" s="44"/>
      <c r="J132" s="290"/>
      <c r="K132" s="290"/>
      <c r="L132" s="290"/>
    </row>
    <row r="133" spans="2:12" x14ac:dyDescent="0.25">
      <c r="B133" s="45"/>
      <c r="C133" s="231" t="s">
        <v>463</v>
      </c>
      <c r="D133" s="137">
        <v>5.0000000000000001E-3</v>
      </c>
      <c r="E133" s="146">
        <v>0.3</v>
      </c>
      <c r="F133" s="45"/>
      <c r="G133" s="45"/>
      <c r="H133" s="45"/>
      <c r="I133" s="44"/>
      <c r="J133" s="290"/>
      <c r="K133" s="290"/>
      <c r="L133" s="290"/>
    </row>
    <row r="134" spans="2:12" x14ac:dyDescent="0.25">
      <c r="B134" s="45"/>
      <c r="C134" s="44"/>
      <c r="D134" s="45"/>
      <c r="E134" s="45"/>
      <c r="F134" s="45"/>
      <c r="G134" s="45"/>
      <c r="H134" s="45"/>
      <c r="I134" s="44"/>
      <c r="J134" s="290"/>
      <c r="K134" s="290"/>
      <c r="L134" s="290"/>
    </row>
    <row r="135" spans="2:12" x14ac:dyDescent="0.25">
      <c r="B135" s="50" t="s">
        <v>25</v>
      </c>
      <c r="C135" s="44"/>
      <c r="D135" s="45" t="s">
        <v>160</v>
      </c>
      <c r="E135" s="45"/>
      <c r="F135" s="45"/>
      <c r="G135" s="45"/>
      <c r="H135" s="45"/>
      <c r="I135" s="44"/>
      <c r="J135" s="290"/>
      <c r="K135" s="290"/>
      <c r="L135" s="290"/>
    </row>
    <row r="136" spans="2:12" x14ac:dyDescent="0.25">
      <c r="B136" s="45" t="s">
        <v>267</v>
      </c>
      <c r="C136" s="44"/>
      <c r="D136" s="45"/>
      <c r="E136" s="45"/>
      <c r="F136" s="45"/>
      <c r="G136" s="45"/>
      <c r="H136" s="45"/>
      <c r="I136" s="44"/>
      <c r="J136" s="290"/>
      <c r="K136" s="290"/>
      <c r="L136" s="290"/>
    </row>
    <row r="137" spans="2:12" x14ac:dyDescent="0.25">
      <c r="B137" s="305" t="s">
        <v>265</v>
      </c>
      <c r="C137" s="44" t="s">
        <v>107</v>
      </c>
      <c r="D137" s="51">
        <f>((D111*$C$106)*(1-$B$138-$B$140))-D116</f>
        <v>1.1352653512701387E-2</v>
      </c>
      <c r="E137" s="51">
        <f>((E111*$C$107)*(1-$B$138-$B$140))-E116</f>
        <v>1.0148145137082914E-3</v>
      </c>
      <c r="F137" s="51">
        <f t="shared" ref="F137:H137" si="3">((F111*$C$107)*(1-$B$138-$B$140))-F116</f>
        <v>5.7270435484076002E-4</v>
      </c>
      <c r="G137" s="51">
        <f t="shared" si="3"/>
        <v>1.2807195902984679E-3</v>
      </c>
      <c r="H137" s="51">
        <f t="shared" si="3"/>
        <v>6.9568676063278911E-4</v>
      </c>
      <c r="I137" s="44" t="s">
        <v>141</v>
      </c>
      <c r="J137" s="290"/>
      <c r="K137" s="290"/>
      <c r="L137" s="290"/>
    </row>
    <row r="138" spans="2:12" s="420" customFormat="1" x14ac:dyDescent="0.25">
      <c r="B138" s="307">
        <f>D130</f>
        <v>0</v>
      </c>
      <c r="C138" s="44" t="s">
        <v>108</v>
      </c>
      <c r="D138" s="51">
        <f t="shared" ref="D138:D140" si="4">((D112*$C$106)*(1-$B$138-$B$140))-D117</f>
        <v>1.1352653512701387E-2</v>
      </c>
      <c r="E138" s="51">
        <f t="shared" ref="E138:H140" si="5">((E112*$C$107)*(1-$B$138-$B$140))-E117</f>
        <v>1.0148145137082914E-3</v>
      </c>
      <c r="F138" s="51">
        <f t="shared" si="5"/>
        <v>5.7270435484076002E-4</v>
      </c>
      <c r="G138" s="51">
        <f t="shared" si="5"/>
        <v>1.2807195902984679E-3</v>
      </c>
      <c r="H138" s="51">
        <f t="shared" si="5"/>
        <v>6.9568676063278911E-4</v>
      </c>
      <c r="I138" s="44" t="s">
        <v>141</v>
      </c>
      <c r="J138" s="290"/>
      <c r="K138" s="290"/>
      <c r="L138" s="290"/>
    </row>
    <row r="139" spans="2:12" x14ac:dyDescent="0.25">
      <c r="B139" s="306" t="s">
        <v>285</v>
      </c>
      <c r="C139" s="44" t="s">
        <v>109</v>
      </c>
      <c r="D139" s="51">
        <f t="shared" si="4"/>
        <v>1.1352653512701387E-2</v>
      </c>
      <c r="E139" s="51">
        <f t="shared" si="5"/>
        <v>1.0148145137082914E-3</v>
      </c>
      <c r="F139" s="51">
        <f t="shared" si="5"/>
        <v>5.7270435484076002E-4</v>
      </c>
      <c r="G139" s="51">
        <f t="shared" si="5"/>
        <v>1.2807195902984679E-3</v>
      </c>
      <c r="H139" s="51">
        <f t="shared" si="5"/>
        <v>6.9568676063278911E-4</v>
      </c>
      <c r="I139" s="44" t="s">
        <v>141</v>
      </c>
      <c r="J139" s="290"/>
      <c r="K139" s="290"/>
      <c r="L139" s="290"/>
    </row>
    <row r="140" spans="2:12" x14ac:dyDescent="0.25">
      <c r="B140" s="308">
        <v>0</v>
      </c>
      <c r="C140" s="44" t="s">
        <v>110</v>
      </c>
      <c r="D140" s="51">
        <f t="shared" si="4"/>
        <v>1.1352653512701387E-2</v>
      </c>
      <c r="E140" s="51">
        <f t="shared" si="5"/>
        <v>1.0148145137082914E-3</v>
      </c>
      <c r="F140" s="51">
        <f t="shared" si="5"/>
        <v>5.7270435484076002E-4</v>
      </c>
      <c r="G140" s="51">
        <f t="shared" si="5"/>
        <v>1.2807195902984679E-3</v>
      </c>
      <c r="H140" s="51">
        <f t="shared" si="5"/>
        <v>6.9568676063278911E-4</v>
      </c>
      <c r="I140" s="44" t="s">
        <v>141</v>
      </c>
      <c r="J140" s="290"/>
      <c r="K140" s="290"/>
      <c r="L140" s="290"/>
    </row>
    <row r="141" spans="2:12" x14ac:dyDescent="0.25">
      <c r="B141" s="45" t="s">
        <v>268</v>
      </c>
      <c r="C141" s="44"/>
      <c r="D141" s="51">
        <f>SUM(D137:D140)</f>
        <v>4.5410614050805549E-2</v>
      </c>
      <c r="E141" s="45"/>
      <c r="F141" s="45"/>
      <c r="G141" s="45"/>
      <c r="H141" s="45"/>
      <c r="I141" s="44"/>
      <c r="J141" s="290"/>
      <c r="K141" s="290"/>
      <c r="L141" s="290"/>
    </row>
    <row r="142" spans="2:12" x14ac:dyDescent="0.25">
      <c r="B142" s="305" t="s">
        <v>265</v>
      </c>
      <c r="C142" s="44" t="s">
        <v>107</v>
      </c>
      <c r="D142" s="324">
        <f>((D111*$D$106)*(1-$B$143-$B$145))</f>
        <v>1.0244998023478606E-3</v>
      </c>
      <c r="E142" s="324">
        <f>((E111*$D$107)*(1-$B$143-$B$145))</f>
        <v>0</v>
      </c>
      <c r="F142" s="324">
        <f t="shared" ref="F142:H142" si="6">((F111*$D$107)*(1-$B$143-$B$145))</f>
        <v>0</v>
      </c>
      <c r="G142" s="324">
        <f t="shared" si="6"/>
        <v>0</v>
      </c>
      <c r="H142" s="324">
        <f t="shared" si="6"/>
        <v>0</v>
      </c>
      <c r="I142" s="44" t="s">
        <v>141</v>
      </c>
      <c r="J142" s="290"/>
      <c r="K142" s="290"/>
      <c r="L142" s="290"/>
    </row>
    <row r="143" spans="2:12" x14ac:dyDescent="0.25">
      <c r="B143" s="307">
        <f>D131</f>
        <v>0</v>
      </c>
      <c r="C143" s="44" t="s">
        <v>108</v>
      </c>
      <c r="D143" s="324">
        <f t="shared" ref="D143:D145" si="7">((D112*$D$106)*(1-$B$143-$B$145))</f>
        <v>1.0244998023478606E-3</v>
      </c>
      <c r="E143" s="324">
        <f t="shared" ref="E143:H145" si="8">((E112*$D$107)*(1-$B$143-$B$145))</f>
        <v>0</v>
      </c>
      <c r="F143" s="324">
        <f t="shared" si="8"/>
        <v>0</v>
      </c>
      <c r="G143" s="324">
        <f t="shared" si="8"/>
        <v>0</v>
      </c>
      <c r="H143" s="324">
        <f t="shared" si="8"/>
        <v>0</v>
      </c>
      <c r="I143" s="44" t="s">
        <v>141</v>
      </c>
      <c r="J143" s="290"/>
      <c r="K143" s="290"/>
      <c r="L143" s="290"/>
    </row>
    <row r="144" spans="2:12" x14ac:dyDescent="0.25">
      <c r="B144" s="306" t="s">
        <v>285</v>
      </c>
      <c r="C144" s="44" t="s">
        <v>109</v>
      </c>
      <c r="D144" s="324">
        <f t="shared" si="7"/>
        <v>1.0244998023478606E-3</v>
      </c>
      <c r="E144" s="324">
        <f t="shared" si="8"/>
        <v>0</v>
      </c>
      <c r="F144" s="324">
        <f t="shared" si="8"/>
        <v>0</v>
      </c>
      <c r="G144" s="324">
        <f t="shared" si="8"/>
        <v>0</v>
      </c>
      <c r="H144" s="324">
        <f t="shared" si="8"/>
        <v>0</v>
      </c>
      <c r="I144" s="44" t="s">
        <v>141</v>
      </c>
      <c r="J144" s="290"/>
      <c r="K144" s="290"/>
      <c r="L144" s="290"/>
    </row>
    <row r="145" spans="2:12" x14ac:dyDescent="0.25">
      <c r="B145" s="308">
        <v>0.35</v>
      </c>
      <c r="C145" s="44" t="s">
        <v>110</v>
      </c>
      <c r="D145" s="324">
        <f t="shared" si="7"/>
        <v>1.0244998023478606E-3</v>
      </c>
      <c r="E145" s="324">
        <f t="shared" si="8"/>
        <v>0</v>
      </c>
      <c r="F145" s="324">
        <f t="shared" si="8"/>
        <v>0</v>
      </c>
      <c r="G145" s="324">
        <f t="shared" si="8"/>
        <v>0</v>
      </c>
      <c r="H145" s="324">
        <f t="shared" si="8"/>
        <v>0</v>
      </c>
      <c r="I145" s="44" t="s">
        <v>141</v>
      </c>
      <c r="J145" s="290"/>
      <c r="K145" s="290"/>
      <c r="L145" s="290"/>
    </row>
    <row r="146" spans="2:12" x14ac:dyDescent="0.25">
      <c r="B146" s="45" t="s">
        <v>269</v>
      </c>
      <c r="C146" s="44"/>
      <c r="D146" s="49">
        <f>SUM(D142:D145)</f>
        <v>4.0979992093914423E-3</v>
      </c>
      <c r="E146" s="45"/>
      <c r="F146" s="45"/>
      <c r="G146" s="45"/>
      <c r="H146" s="45"/>
      <c r="I146" s="44"/>
      <c r="J146" s="290"/>
      <c r="K146" s="290"/>
      <c r="L146" s="290"/>
    </row>
    <row r="147" spans="2:12" x14ac:dyDescent="0.25">
      <c r="B147" s="305" t="s">
        <v>265</v>
      </c>
      <c r="C147" s="44" t="s">
        <v>107</v>
      </c>
      <c r="D147" s="51">
        <f>((D111*$E$106)*(1-$B$148-$B$150))</f>
        <v>1.390004373742522E-4</v>
      </c>
      <c r="E147" s="51">
        <f>((E111*$E$107)*(1-$B$148-$B$150))</f>
        <v>0</v>
      </c>
      <c r="F147" s="51">
        <f t="shared" ref="F147:H147" si="9">((F111*$E$107)*(1-$B$148-$B$150))</f>
        <v>0</v>
      </c>
      <c r="G147" s="51">
        <f t="shared" si="9"/>
        <v>0</v>
      </c>
      <c r="H147" s="51">
        <f t="shared" si="9"/>
        <v>0</v>
      </c>
      <c r="I147" s="44" t="s">
        <v>141</v>
      </c>
      <c r="J147" s="290"/>
      <c r="K147" s="290"/>
      <c r="L147" s="290"/>
    </row>
    <row r="148" spans="2:12" x14ac:dyDescent="0.25">
      <c r="B148" s="307">
        <f>D132</f>
        <v>0</v>
      </c>
      <c r="C148" s="44" t="s">
        <v>108</v>
      </c>
      <c r="D148" s="51">
        <f t="shared" ref="D148:D150" si="10">((D112*$E$106)*(1-$B$148-$B$150))</f>
        <v>1.390004373742522E-4</v>
      </c>
      <c r="E148" s="51">
        <f t="shared" ref="E148:H150" si="11">((E112*$E$107)*(1-$B$148-$B$150))</f>
        <v>0</v>
      </c>
      <c r="F148" s="51">
        <f t="shared" si="11"/>
        <v>0</v>
      </c>
      <c r="G148" s="51">
        <f t="shared" si="11"/>
        <v>0</v>
      </c>
      <c r="H148" s="51">
        <f t="shared" si="11"/>
        <v>0</v>
      </c>
      <c r="I148" s="44" t="s">
        <v>141</v>
      </c>
      <c r="J148" s="290"/>
      <c r="K148" s="290"/>
      <c r="L148" s="290"/>
    </row>
    <row r="149" spans="2:12" x14ac:dyDescent="0.25">
      <c r="B149" s="306" t="s">
        <v>285</v>
      </c>
      <c r="C149" s="44" t="s">
        <v>109</v>
      </c>
      <c r="D149" s="51">
        <f t="shared" si="10"/>
        <v>1.390004373742522E-4</v>
      </c>
      <c r="E149" s="51">
        <f t="shared" si="11"/>
        <v>0</v>
      </c>
      <c r="F149" s="51">
        <f t="shared" si="11"/>
        <v>0</v>
      </c>
      <c r="G149" s="51">
        <f t="shared" si="11"/>
        <v>0</v>
      </c>
      <c r="H149" s="51">
        <f t="shared" si="11"/>
        <v>0</v>
      </c>
      <c r="I149" s="44" t="s">
        <v>141</v>
      </c>
      <c r="J149" s="290"/>
      <c r="K149" s="290"/>
      <c r="L149" s="290"/>
    </row>
    <row r="150" spans="2:12" x14ac:dyDescent="0.25">
      <c r="B150" s="308">
        <v>7.0000000000000007E-2</v>
      </c>
      <c r="C150" s="44" t="s">
        <v>110</v>
      </c>
      <c r="D150" s="51">
        <f t="shared" si="10"/>
        <v>1.390004373742522E-4</v>
      </c>
      <c r="E150" s="51">
        <f t="shared" si="11"/>
        <v>0</v>
      </c>
      <c r="F150" s="51">
        <f t="shared" si="11"/>
        <v>0</v>
      </c>
      <c r="G150" s="51">
        <f t="shared" si="11"/>
        <v>0</v>
      </c>
      <c r="H150" s="51">
        <f t="shared" si="11"/>
        <v>0</v>
      </c>
      <c r="I150" s="44" t="s">
        <v>141</v>
      </c>
      <c r="J150" s="290"/>
      <c r="K150" s="290"/>
      <c r="L150" s="290"/>
    </row>
    <row r="151" spans="2:12" s="47" customFormat="1" x14ac:dyDescent="0.25">
      <c r="B151" s="45" t="s">
        <v>270</v>
      </c>
      <c r="C151" s="44"/>
      <c r="D151" s="49">
        <f>SUM(D147:D150)</f>
        <v>5.5600174949700881E-4</v>
      </c>
      <c r="E151" s="45"/>
      <c r="F151" s="45"/>
      <c r="G151" s="45"/>
      <c r="H151" s="45"/>
      <c r="I151" s="44"/>
      <c r="J151" s="290"/>
      <c r="K151" s="290"/>
      <c r="L151" s="290"/>
    </row>
    <row r="152" spans="2:12" s="47" customFormat="1" x14ac:dyDescent="0.25">
      <c r="B152" s="305" t="s">
        <v>265</v>
      </c>
      <c r="C152" s="44" t="s">
        <v>107</v>
      </c>
      <c r="D152" s="51">
        <f>((D111*$F$106)*(1-$B$153-$B$155))</f>
        <v>5.9785134354517079E-5</v>
      </c>
      <c r="E152" s="51">
        <f>((E111*$F$107)*(1-$B$153-$B$155))</f>
        <v>0</v>
      </c>
      <c r="F152" s="51">
        <f t="shared" ref="F152:H152" si="12">((F111*$F$107)*(1-$B$153-$B$155))</f>
        <v>0</v>
      </c>
      <c r="G152" s="51">
        <f t="shared" si="12"/>
        <v>0</v>
      </c>
      <c r="H152" s="51">
        <f t="shared" si="12"/>
        <v>0</v>
      </c>
      <c r="I152" s="44" t="s">
        <v>141</v>
      </c>
      <c r="J152" s="290"/>
      <c r="K152" s="290"/>
      <c r="L152" s="290"/>
    </row>
    <row r="153" spans="2:12" s="47" customFormat="1" x14ac:dyDescent="0.25">
      <c r="B153" s="307">
        <f>D132</f>
        <v>0</v>
      </c>
      <c r="C153" s="44" t="s">
        <v>108</v>
      </c>
      <c r="D153" s="51">
        <f t="shared" ref="D153:D155" si="13">((D112*$F$106)*(1-$B$153-$B$155))</f>
        <v>5.9785134354517079E-5</v>
      </c>
      <c r="E153" s="51">
        <f t="shared" ref="E153:H155" si="14">((E112*$F$107)*(1-$B$153-$B$155))</f>
        <v>0</v>
      </c>
      <c r="F153" s="51">
        <f t="shared" si="14"/>
        <v>0</v>
      </c>
      <c r="G153" s="51">
        <f t="shared" si="14"/>
        <v>0</v>
      </c>
      <c r="H153" s="51">
        <f t="shared" si="14"/>
        <v>0</v>
      </c>
      <c r="I153" s="44" t="s">
        <v>141</v>
      </c>
      <c r="J153" s="290"/>
      <c r="K153" s="290"/>
      <c r="L153" s="290"/>
    </row>
    <row r="154" spans="2:12" x14ac:dyDescent="0.25">
      <c r="B154" s="306" t="s">
        <v>285</v>
      </c>
      <c r="C154" s="44" t="s">
        <v>109</v>
      </c>
      <c r="D154" s="51">
        <f t="shared" si="13"/>
        <v>5.9785134354517079E-5</v>
      </c>
      <c r="E154" s="51">
        <f t="shared" si="14"/>
        <v>0</v>
      </c>
      <c r="F154" s="51">
        <f t="shared" si="14"/>
        <v>0</v>
      </c>
      <c r="G154" s="51">
        <f t="shared" si="14"/>
        <v>0</v>
      </c>
      <c r="H154" s="51">
        <f t="shared" si="14"/>
        <v>0</v>
      </c>
      <c r="I154" s="44" t="s">
        <v>141</v>
      </c>
      <c r="J154" s="290"/>
      <c r="K154" s="290"/>
      <c r="L154" s="290"/>
    </row>
    <row r="155" spans="2:12" x14ac:dyDescent="0.25">
      <c r="B155" s="308">
        <f>E132</f>
        <v>0.2</v>
      </c>
      <c r="C155" s="44" t="s">
        <v>110</v>
      </c>
      <c r="D155" s="51">
        <f t="shared" si="13"/>
        <v>5.9785134354517079E-5</v>
      </c>
      <c r="E155" s="51">
        <f t="shared" si="14"/>
        <v>0</v>
      </c>
      <c r="F155" s="51">
        <f t="shared" si="14"/>
        <v>0</v>
      </c>
      <c r="G155" s="51">
        <f t="shared" si="14"/>
        <v>0</v>
      </c>
      <c r="H155" s="51">
        <f t="shared" si="14"/>
        <v>0</v>
      </c>
      <c r="I155" s="44" t="s">
        <v>141</v>
      </c>
      <c r="J155" s="290"/>
      <c r="K155" s="290"/>
      <c r="L155" s="290"/>
    </row>
    <row r="156" spans="2:12" x14ac:dyDescent="0.25">
      <c r="B156" s="45" t="s">
        <v>271</v>
      </c>
      <c r="C156" s="44"/>
      <c r="D156" s="49">
        <f>SUM(D152:D155)</f>
        <v>2.3914053741806832E-4</v>
      </c>
      <c r="E156" s="45"/>
      <c r="F156" s="45"/>
      <c r="G156" s="45"/>
      <c r="H156" s="45"/>
      <c r="I156" s="44"/>
      <c r="J156" s="290"/>
      <c r="K156" s="290"/>
      <c r="L156" s="290"/>
    </row>
    <row r="157" spans="2:12" x14ac:dyDescent="0.25">
      <c r="B157" s="309" t="s">
        <v>265</v>
      </c>
      <c r="C157" s="44" t="s">
        <v>107</v>
      </c>
      <c r="D157" s="51">
        <f>((D111*$G$106)*(1-$B$158-$B$160)-D116)</f>
        <v>1.3203003420973693E-4</v>
      </c>
      <c r="E157" s="51">
        <f>((E111*$G$107)*(1-$B$158-$B$160)-E116)</f>
        <v>0</v>
      </c>
      <c r="F157" s="51">
        <f t="shared" ref="F157:H157" si="15">((F111*$G$107)*(1-$B$158-$B$160)-F116)</f>
        <v>0</v>
      </c>
      <c r="G157" s="51">
        <f t="shared" si="15"/>
        <v>0</v>
      </c>
      <c r="H157" s="51">
        <f t="shared" si="15"/>
        <v>0</v>
      </c>
      <c r="I157" s="44" t="s">
        <v>141</v>
      </c>
      <c r="J157" s="290"/>
      <c r="K157" s="290"/>
      <c r="L157" s="290"/>
    </row>
    <row r="158" spans="2:12" x14ac:dyDescent="0.25">
      <c r="B158" s="307">
        <f>D133</f>
        <v>5.0000000000000001E-3</v>
      </c>
      <c r="C158" s="44" t="s">
        <v>108</v>
      </c>
      <c r="D158" s="51">
        <f t="shared" ref="D158:D160" si="16">((D112*$G$106)*(1-$B$158-$B$160)-D117)</f>
        <v>1.3203003420973693E-4</v>
      </c>
      <c r="E158" s="51">
        <f t="shared" ref="E158:H160" si="17">((E112*$G$107)*(1-$B$158-$B$160)-E117)</f>
        <v>0</v>
      </c>
      <c r="F158" s="51">
        <f t="shared" si="17"/>
        <v>0</v>
      </c>
      <c r="G158" s="51">
        <f t="shared" si="17"/>
        <v>0</v>
      </c>
      <c r="H158" s="51">
        <f t="shared" si="17"/>
        <v>0</v>
      </c>
      <c r="I158" s="44" t="s">
        <v>141</v>
      </c>
      <c r="J158" s="290"/>
      <c r="K158" s="290"/>
      <c r="L158" s="290"/>
    </row>
    <row r="159" spans="2:12" x14ac:dyDescent="0.25">
      <c r="B159" s="306" t="s">
        <v>285</v>
      </c>
      <c r="C159" s="44" t="s">
        <v>109</v>
      </c>
      <c r="D159" s="51">
        <f t="shared" si="16"/>
        <v>1.3203003420973693E-4</v>
      </c>
      <c r="E159" s="51">
        <f t="shared" si="17"/>
        <v>0</v>
      </c>
      <c r="F159" s="51">
        <f t="shared" si="17"/>
        <v>0</v>
      </c>
      <c r="G159" s="51">
        <f t="shared" si="17"/>
        <v>0</v>
      </c>
      <c r="H159" s="51">
        <f t="shared" si="17"/>
        <v>0</v>
      </c>
      <c r="I159" s="44" t="s">
        <v>141</v>
      </c>
      <c r="J159" s="290"/>
      <c r="K159" s="290"/>
      <c r="L159" s="290"/>
    </row>
    <row r="160" spans="2:12" x14ac:dyDescent="0.25">
      <c r="B160" s="308">
        <f>E133</f>
        <v>0.3</v>
      </c>
      <c r="C160" s="44" t="s">
        <v>110</v>
      </c>
      <c r="D160" s="51">
        <f t="shared" si="16"/>
        <v>1.3203003420973693E-4</v>
      </c>
      <c r="E160" s="51">
        <f t="shared" si="17"/>
        <v>0</v>
      </c>
      <c r="F160" s="51">
        <f t="shared" si="17"/>
        <v>0</v>
      </c>
      <c r="G160" s="51">
        <f t="shared" si="17"/>
        <v>0</v>
      </c>
      <c r="H160" s="51">
        <f t="shared" si="17"/>
        <v>0</v>
      </c>
      <c r="I160" s="44" t="s">
        <v>141</v>
      </c>
      <c r="J160" s="290"/>
      <c r="K160" s="290"/>
      <c r="L160" s="290"/>
    </row>
    <row r="161" spans="2:12" x14ac:dyDescent="0.25">
      <c r="B161" s="45"/>
      <c r="C161" s="44"/>
      <c r="D161" s="49">
        <f>SUM(D157:D160)</f>
        <v>5.281201368389477E-4</v>
      </c>
      <c r="E161" s="45"/>
      <c r="F161" s="45"/>
      <c r="G161" s="45"/>
      <c r="H161" s="45"/>
      <c r="I161" s="44"/>
      <c r="J161" s="290"/>
      <c r="K161" s="290"/>
      <c r="L161" s="290"/>
    </row>
    <row r="162" spans="2:12" x14ac:dyDescent="0.25">
      <c r="B162" s="45" t="s">
        <v>6</v>
      </c>
      <c r="C162" s="44" t="s">
        <v>107</v>
      </c>
      <c r="D162" s="51">
        <f>SUM(D142,D147,D152,D157)</f>
        <v>1.3553154082863667E-3</v>
      </c>
      <c r="E162" s="51">
        <f t="shared" ref="E162:H162" si="18">SUM(E142,E147,E152,E157)</f>
        <v>0</v>
      </c>
      <c r="F162" s="51">
        <f t="shared" si="18"/>
        <v>0</v>
      </c>
      <c r="G162" s="51">
        <f t="shared" si="18"/>
        <v>0</v>
      </c>
      <c r="H162" s="51">
        <f t="shared" si="18"/>
        <v>0</v>
      </c>
      <c r="I162" s="44" t="s">
        <v>141</v>
      </c>
      <c r="J162" s="290"/>
      <c r="K162" s="290"/>
      <c r="L162" s="290"/>
    </row>
    <row r="163" spans="2:12" x14ac:dyDescent="0.25">
      <c r="B163" s="45"/>
      <c r="C163" s="44" t="s">
        <v>108</v>
      </c>
      <c r="D163" s="51">
        <f t="shared" ref="D163:H165" si="19">SUM(D143,D148,D153,D158)</f>
        <v>1.3553154082863667E-3</v>
      </c>
      <c r="E163" s="51">
        <f t="shared" si="19"/>
        <v>0</v>
      </c>
      <c r="F163" s="51">
        <f t="shared" si="19"/>
        <v>0</v>
      </c>
      <c r="G163" s="51">
        <f t="shared" si="19"/>
        <v>0</v>
      </c>
      <c r="H163" s="51">
        <f t="shared" si="19"/>
        <v>0</v>
      </c>
      <c r="I163" s="44" t="s">
        <v>141</v>
      </c>
      <c r="J163" s="290"/>
      <c r="K163" s="290"/>
      <c r="L163" s="290"/>
    </row>
    <row r="164" spans="2:12" x14ac:dyDescent="0.25">
      <c r="B164" s="45"/>
      <c r="C164" s="44" t="s">
        <v>109</v>
      </c>
      <c r="D164" s="51">
        <f t="shared" si="19"/>
        <v>1.3553154082863667E-3</v>
      </c>
      <c r="E164" s="51">
        <f t="shared" si="19"/>
        <v>0</v>
      </c>
      <c r="F164" s="51">
        <f t="shared" si="19"/>
        <v>0</v>
      </c>
      <c r="G164" s="51">
        <f t="shared" si="19"/>
        <v>0</v>
      </c>
      <c r="H164" s="51">
        <f t="shared" si="19"/>
        <v>0</v>
      </c>
      <c r="I164" s="44" t="s">
        <v>141</v>
      </c>
      <c r="J164" s="290"/>
      <c r="K164" s="290"/>
      <c r="L164" s="290"/>
    </row>
    <row r="165" spans="2:12" x14ac:dyDescent="0.25">
      <c r="B165" s="45"/>
      <c r="C165" s="44" t="s">
        <v>110</v>
      </c>
      <c r="D165" s="51">
        <f t="shared" si="19"/>
        <v>1.3553154082863667E-3</v>
      </c>
      <c r="E165" s="51">
        <f t="shared" si="19"/>
        <v>0</v>
      </c>
      <c r="F165" s="51">
        <f t="shared" si="19"/>
        <v>0</v>
      </c>
      <c r="G165" s="51">
        <f t="shared" si="19"/>
        <v>0</v>
      </c>
      <c r="H165" s="51">
        <f t="shared" si="19"/>
        <v>0</v>
      </c>
      <c r="I165" s="44" t="s">
        <v>141</v>
      </c>
      <c r="J165" s="290"/>
      <c r="K165" s="290"/>
      <c r="L165" s="290"/>
    </row>
    <row r="166" spans="2:12" x14ac:dyDescent="0.25">
      <c r="B166" s="45"/>
      <c r="C166" s="44"/>
      <c r="D166" s="45"/>
      <c r="E166" s="45"/>
      <c r="F166" s="45"/>
      <c r="G166" s="45"/>
      <c r="H166" s="45"/>
      <c r="I166" s="44"/>
      <c r="J166" s="290"/>
      <c r="K166" s="290"/>
      <c r="L166" s="290"/>
    </row>
    <row r="167" spans="2:12" x14ac:dyDescent="0.25">
      <c r="B167" s="50" t="s">
        <v>6</v>
      </c>
      <c r="C167" s="48"/>
      <c r="D167" s="325">
        <f>SUM(D162:H165)</f>
        <v>5.4212616331454667E-3</v>
      </c>
      <c r="E167" s="45"/>
      <c r="F167" s="45"/>
      <c r="G167" s="45"/>
      <c r="H167" s="45"/>
      <c r="I167" s="44" t="s">
        <v>315</v>
      </c>
      <c r="J167" s="290"/>
      <c r="K167" s="290"/>
      <c r="L167" s="290"/>
    </row>
    <row r="168" spans="2:12" x14ac:dyDescent="0.25">
      <c r="B168" s="45"/>
      <c r="C168" s="44"/>
      <c r="D168" s="45"/>
      <c r="E168" s="45"/>
      <c r="F168" s="45"/>
      <c r="G168" s="45"/>
      <c r="H168" s="45"/>
      <c r="I168" s="44"/>
      <c r="J168" s="290"/>
      <c r="K168" s="290"/>
      <c r="L168" s="290"/>
    </row>
    <row r="169" spans="2:12" x14ac:dyDescent="0.25">
      <c r="B169" s="45"/>
      <c r="C169" s="48" t="s">
        <v>316</v>
      </c>
      <c r="D169" s="45"/>
      <c r="E169" s="45"/>
      <c r="F169" s="45"/>
      <c r="G169" s="45"/>
      <c r="H169" s="45"/>
      <c r="I169" s="44"/>
      <c r="J169" s="290" t="s">
        <v>157</v>
      </c>
      <c r="K169" s="290" t="s">
        <v>317</v>
      </c>
      <c r="L169" s="290" t="s">
        <v>759</v>
      </c>
    </row>
    <row r="170" spans="2:12" x14ac:dyDescent="0.25">
      <c r="B170" s="45"/>
      <c r="C170" s="44" t="s">
        <v>310</v>
      </c>
      <c r="D170" s="45">
        <v>0.01</v>
      </c>
      <c r="E170" s="45"/>
      <c r="F170" s="45"/>
      <c r="G170" s="45"/>
      <c r="H170" s="45"/>
      <c r="I170" s="44" t="s">
        <v>318</v>
      </c>
      <c r="J170" s="290"/>
      <c r="K170" s="290"/>
      <c r="L170" s="290"/>
    </row>
    <row r="171" spans="2:12" x14ac:dyDescent="0.25">
      <c r="B171" s="45"/>
      <c r="C171" s="44" t="s">
        <v>311</v>
      </c>
      <c r="D171" s="125">
        <f>GWP!C15</f>
        <v>1.5714285714285714</v>
      </c>
      <c r="E171" s="45"/>
      <c r="F171" s="45"/>
      <c r="G171" s="45"/>
      <c r="H171" s="45"/>
      <c r="I171" s="44"/>
      <c r="J171" s="290"/>
      <c r="K171" s="290"/>
      <c r="L171" s="290"/>
    </row>
    <row r="172" spans="2:12" x14ac:dyDescent="0.25">
      <c r="B172" s="45"/>
      <c r="C172" s="44"/>
      <c r="D172" s="45"/>
      <c r="E172" s="45"/>
      <c r="F172" s="45"/>
      <c r="G172" s="45"/>
      <c r="H172" s="45"/>
      <c r="I172" s="44"/>
      <c r="J172" s="290"/>
      <c r="K172" s="290"/>
      <c r="L172" s="290"/>
    </row>
    <row r="173" spans="2:12" x14ac:dyDescent="0.25">
      <c r="B173" s="50" t="s">
        <v>808</v>
      </c>
      <c r="C173" s="48"/>
      <c r="D173" s="326">
        <f>D167*D170*D171</f>
        <v>8.5191254235143047E-5</v>
      </c>
      <c r="E173" s="50"/>
      <c r="F173" s="50"/>
      <c r="G173" s="50"/>
      <c r="H173" s="50"/>
      <c r="I173" s="48" t="s">
        <v>319</v>
      </c>
      <c r="J173" s="290"/>
      <c r="K173" s="290"/>
      <c r="L173" s="290"/>
    </row>
    <row r="174" spans="2:12" x14ac:dyDescent="0.25">
      <c r="B174" s="50" t="s">
        <v>808</v>
      </c>
      <c r="C174" s="44"/>
      <c r="D174" s="125">
        <f>D173*GWP!C6</f>
        <v>2.5386993762072627E-2</v>
      </c>
      <c r="E174" s="45"/>
      <c r="F174" s="45"/>
      <c r="G174" s="45"/>
      <c r="H174" s="45"/>
      <c r="I174" s="48" t="s">
        <v>320</v>
      </c>
      <c r="J174" s="290"/>
      <c r="K174" s="290"/>
      <c r="L174" s="290"/>
    </row>
    <row r="175" spans="2:12" x14ac:dyDescent="0.25">
      <c r="B175" s="119" t="s">
        <v>808</v>
      </c>
      <c r="C175" s="119"/>
      <c r="D175" s="317">
        <f>D174*10^3</f>
        <v>25.386993762072628</v>
      </c>
      <c r="E175" s="119"/>
      <c r="F175" s="119"/>
      <c r="G175" s="119"/>
      <c r="H175" s="119"/>
      <c r="I175" s="119" t="s">
        <v>321</v>
      </c>
      <c r="J175" s="294"/>
      <c r="K175" s="294"/>
      <c r="L175" s="294"/>
    </row>
    <row r="176" spans="2:12" x14ac:dyDescent="0.25">
      <c r="B176" s="45"/>
      <c r="C176" s="44"/>
      <c r="D176" s="45"/>
      <c r="E176" s="45"/>
      <c r="F176" s="45"/>
      <c r="G176" s="45"/>
      <c r="H176" s="45"/>
      <c r="I176" s="44"/>
      <c r="J176" s="290"/>
      <c r="K176" s="290"/>
      <c r="L176" s="290"/>
    </row>
    <row r="177" spans="2:12" ht="18.75" x14ac:dyDescent="0.3">
      <c r="B177" s="323" t="s">
        <v>322</v>
      </c>
      <c r="C177" s="44"/>
      <c r="D177" s="45"/>
      <c r="E177" s="45"/>
      <c r="F177" s="45"/>
      <c r="G177" s="45"/>
      <c r="H177" s="45"/>
      <c r="I177" s="44"/>
      <c r="J177" s="290"/>
      <c r="K177" s="290"/>
      <c r="L177" s="290"/>
    </row>
    <row r="178" spans="2:12" ht="18.75" x14ac:dyDescent="0.3">
      <c r="B178" s="323"/>
      <c r="C178" s="44"/>
      <c r="D178" s="45"/>
      <c r="E178" s="45"/>
      <c r="F178" s="45"/>
      <c r="G178" s="45"/>
      <c r="H178" s="45"/>
      <c r="I178" s="44"/>
      <c r="J178" s="290"/>
      <c r="K178" s="290"/>
      <c r="L178" s="290"/>
    </row>
    <row r="179" spans="2:12" ht="18.75" x14ac:dyDescent="0.3">
      <c r="B179" s="323"/>
      <c r="C179" s="48" t="s">
        <v>91</v>
      </c>
      <c r="D179" s="45"/>
      <c r="E179" s="45"/>
      <c r="F179" s="45"/>
      <c r="G179" s="45"/>
      <c r="H179" s="45"/>
      <c r="I179" s="44"/>
      <c r="J179" s="290" t="s">
        <v>775</v>
      </c>
      <c r="K179" s="290" t="s">
        <v>323</v>
      </c>
      <c r="L179" s="290" t="s">
        <v>760</v>
      </c>
    </row>
    <row r="180" spans="2:12" ht="18.75" x14ac:dyDescent="0.3">
      <c r="B180" s="323"/>
      <c r="C180" s="44" t="s">
        <v>310</v>
      </c>
      <c r="D180" s="45">
        <v>8.9999999999999998E-4</v>
      </c>
      <c r="E180" s="45"/>
      <c r="F180" s="45"/>
      <c r="G180" s="45"/>
      <c r="H180" s="45"/>
      <c r="I180" s="44" t="s">
        <v>92</v>
      </c>
      <c r="J180" s="290"/>
      <c r="K180" s="290"/>
      <c r="L180" s="290"/>
    </row>
    <row r="181" spans="2:12" ht="18.75" x14ac:dyDescent="0.3">
      <c r="B181" s="323"/>
      <c r="C181" s="44" t="s">
        <v>311</v>
      </c>
      <c r="D181" s="125">
        <f>GWP!C15</f>
        <v>1.5714285714285714</v>
      </c>
      <c r="E181" s="45"/>
      <c r="F181" s="45"/>
      <c r="G181" s="45"/>
      <c r="H181" s="45"/>
      <c r="I181" s="44"/>
      <c r="J181" s="290"/>
      <c r="K181" s="290"/>
      <c r="L181" s="290"/>
    </row>
    <row r="182" spans="2:12" ht="18.75" x14ac:dyDescent="0.3">
      <c r="B182" s="323"/>
      <c r="C182" s="44"/>
      <c r="D182" s="45"/>
      <c r="E182" s="45"/>
      <c r="F182" s="45"/>
      <c r="G182" s="45"/>
      <c r="H182" s="45"/>
      <c r="I182" s="44"/>
      <c r="J182" s="290"/>
      <c r="K182" s="290"/>
      <c r="L182" s="290"/>
    </row>
    <row r="183" spans="2:12" ht="18.75" x14ac:dyDescent="0.3">
      <c r="B183" s="323" t="s">
        <v>469</v>
      </c>
      <c r="C183" s="44"/>
      <c r="D183" s="45" t="s">
        <v>446</v>
      </c>
      <c r="E183" s="45"/>
      <c r="F183" s="45" t="s">
        <v>444</v>
      </c>
      <c r="G183" s="45"/>
      <c r="H183" s="45"/>
      <c r="I183" s="44"/>
      <c r="J183" s="290"/>
      <c r="K183" s="290"/>
      <c r="L183" s="290"/>
    </row>
    <row r="184" spans="2:12" ht="18.75" x14ac:dyDescent="0.3">
      <c r="B184" s="323"/>
      <c r="C184" s="52" t="s">
        <v>107</v>
      </c>
      <c r="D184" s="45">
        <f>D61*$D$180*$D$181</f>
        <v>0</v>
      </c>
      <c r="E184" s="45"/>
      <c r="F184" s="45">
        <f>F61*$D$180*$D$181</f>
        <v>0</v>
      </c>
      <c r="G184" s="45"/>
      <c r="H184" s="45"/>
      <c r="I184" s="44" t="s">
        <v>161</v>
      </c>
      <c r="J184" s="290"/>
      <c r="K184" s="290"/>
      <c r="L184" s="290"/>
    </row>
    <row r="185" spans="2:12" ht="18.75" x14ac:dyDescent="0.3">
      <c r="B185" s="323"/>
      <c r="C185" s="52" t="s">
        <v>108</v>
      </c>
      <c r="D185" s="45">
        <f t="shared" ref="D185:F187" si="20">D62*$D$180*$D$181</f>
        <v>0</v>
      </c>
      <c r="E185" s="45"/>
      <c r="F185" s="45">
        <f t="shared" si="20"/>
        <v>0</v>
      </c>
      <c r="G185" s="45"/>
      <c r="H185" s="45"/>
      <c r="I185" s="44" t="s">
        <v>161</v>
      </c>
      <c r="J185" s="290"/>
      <c r="K185" s="290"/>
      <c r="L185" s="290"/>
    </row>
    <row r="186" spans="2:12" ht="18.75" x14ac:dyDescent="0.3">
      <c r="B186" s="323"/>
      <c r="C186" s="52" t="s">
        <v>109</v>
      </c>
      <c r="D186" s="45">
        <f t="shared" si="20"/>
        <v>0</v>
      </c>
      <c r="E186" s="45"/>
      <c r="F186" s="45">
        <f t="shared" si="20"/>
        <v>0</v>
      </c>
      <c r="G186" s="45"/>
      <c r="H186" s="45"/>
      <c r="I186" s="44" t="s">
        <v>161</v>
      </c>
      <c r="J186" s="290"/>
      <c r="K186" s="290"/>
      <c r="L186" s="290"/>
    </row>
    <row r="187" spans="2:12" ht="18.75" x14ac:dyDescent="0.3">
      <c r="B187" s="323"/>
      <c r="C187" s="52" t="s">
        <v>110</v>
      </c>
      <c r="D187" s="45">
        <f t="shared" si="20"/>
        <v>0</v>
      </c>
      <c r="E187" s="45"/>
      <c r="F187" s="45">
        <f t="shared" si="20"/>
        <v>0</v>
      </c>
      <c r="G187" s="45"/>
      <c r="H187" s="45"/>
      <c r="I187" s="44" t="s">
        <v>161</v>
      </c>
      <c r="J187" s="290"/>
      <c r="K187" s="290"/>
      <c r="L187" s="290"/>
    </row>
    <row r="188" spans="2:12" ht="18.75" x14ac:dyDescent="0.3">
      <c r="B188" s="323"/>
      <c r="C188" s="44"/>
      <c r="D188" s="45"/>
      <c r="E188" s="45"/>
      <c r="F188" s="45"/>
      <c r="G188" s="45"/>
      <c r="H188" s="45"/>
      <c r="I188" s="44"/>
      <c r="J188" s="290"/>
      <c r="K188" s="290"/>
      <c r="L188" s="290"/>
    </row>
    <row r="189" spans="2:12" ht="18.75" x14ac:dyDescent="0.3">
      <c r="B189" s="323" t="s">
        <v>470</v>
      </c>
      <c r="C189" s="44"/>
      <c r="D189" s="45" t="s">
        <v>446</v>
      </c>
      <c r="E189" s="45"/>
      <c r="F189" s="45" t="s">
        <v>444</v>
      </c>
      <c r="G189" s="45"/>
      <c r="H189" s="45"/>
      <c r="I189" s="44"/>
      <c r="J189" s="290"/>
      <c r="K189" s="290"/>
      <c r="L189" s="290"/>
    </row>
    <row r="190" spans="2:12" ht="18.75" x14ac:dyDescent="0.3">
      <c r="B190" s="323"/>
      <c r="C190" s="52" t="s">
        <v>107</v>
      </c>
      <c r="D190" s="45">
        <f>D67*$D$180*$D$181</f>
        <v>0</v>
      </c>
      <c r="E190" s="45"/>
      <c r="F190" s="45">
        <f>F67*$D$180*$D$181</f>
        <v>0</v>
      </c>
      <c r="G190" s="45"/>
      <c r="H190" s="45"/>
      <c r="I190" s="44" t="s">
        <v>161</v>
      </c>
      <c r="J190" s="290"/>
      <c r="K190" s="290"/>
      <c r="L190" s="290"/>
    </row>
    <row r="191" spans="2:12" ht="18.75" x14ac:dyDescent="0.3">
      <c r="B191" s="323"/>
      <c r="C191" s="52" t="s">
        <v>108</v>
      </c>
      <c r="D191" s="45">
        <f t="shared" ref="D191:F193" si="21">D68*$D$180*$D$181</f>
        <v>0</v>
      </c>
      <c r="E191" s="45"/>
      <c r="F191" s="45">
        <f t="shared" si="21"/>
        <v>0</v>
      </c>
      <c r="G191" s="45"/>
      <c r="H191" s="45"/>
      <c r="I191" s="44" t="s">
        <v>161</v>
      </c>
      <c r="J191" s="290"/>
      <c r="K191" s="290"/>
      <c r="L191" s="290"/>
    </row>
    <row r="192" spans="2:12" ht="18.75" x14ac:dyDescent="0.3">
      <c r="B192" s="323"/>
      <c r="C192" s="52" t="s">
        <v>109</v>
      </c>
      <c r="D192" s="45">
        <f t="shared" si="21"/>
        <v>0</v>
      </c>
      <c r="E192" s="45"/>
      <c r="F192" s="45">
        <f t="shared" si="21"/>
        <v>0</v>
      </c>
      <c r="G192" s="45"/>
      <c r="H192" s="45"/>
      <c r="I192" s="44" t="s">
        <v>161</v>
      </c>
      <c r="J192" s="290"/>
      <c r="K192" s="290"/>
      <c r="L192" s="290"/>
    </row>
    <row r="193" spans="2:12" ht="18.75" x14ac:dyDescent="0.3">
      <c r="B193" s="323"/>
      <c r="C193" s="52" t="s">
        <v>110</v>
      </c>
      <c r="D193" s="45">
        <f t="shared" si="21"/>
        <v>0</v>
      </c>
      <c r="E193" s="45"/>
      <c r="F193" s="45">
        <f t="shared" si="21"/>
        <v>0</v>
      </c>
      <c r="G193" s="45"/>
      <c r="H193" s="45"/>
      <c r="I193" s="44" t="s">
        <v>161</v>
      </c>
      <c r="J193" s="290"/>
      <c r="K193" s="290"/>
      <c r="L193" s="290"/>
    </row>
    <row r="194" spans="2:12" x14ac:dyDescent="0.25">
      <c r="B194" s="45"/>
      <c r="C194" s="44"/>
      <c r="D194" s="45"/>
      <c r="E194" s="45"/>
      <c r="F194" s="45"/>
      <c r="G194" s="45"/>
      <c r="H194" s="45"/>
      <c r="I194" s="44"/>
      <c r="J194" s="290"/>
      <c r="K194" s="290"/>
      <c r="L194" s="290"/>
    </row>
    <row r="195" spans="2:12" x14ac:dyDescent="0.25">
      <c r="B195" s="50" t="s">
        <v>809</v>
      </c>
      <c r="C195" s="44"/>
      <c r="D195" s="327">
        <f>SUM(D184:D187,F184:F187,D190:D193,F190:F193)</f>
        <v>0</v>
      </c>
      <c r="E195" s="45"/>
      <c r="F195" s="45"/>
      <c r="G195" s="45"/>
      <c r="H195" s="45"/>
      <c r="I195" s="44" t="s">
        <v>319</v>
      </c>
      <c r="J195" s="290"/>
      <c r="K195" s="290"/>
      <c r="L195" s="290"/>
    </row>
    <row r="196" spans="2:12" x14ac:dyDescent="0.25">
      <c r="B196" s="50" t="s">
        <v>809</v>
      </c>
      <c r="C196" s="44"/>
      <c r="D196" s="125">
        <f>D195*GWP!C6</f>
        <v>0</v>
      </c>
      <c r="E196" s="45"/>
      <c r="F196" s="45"/>
      <c r="G196" s="45"/>
      <c r="H196" s="45"/>
      <c r="I196" s="48" t="s">
        <v>320</v>
      </c>
      <c r="J196" s="290"/>
      <c r="K196" s="290"/>
      <c r="L196" s="290"/>
    </row>
    <row r="197" spans="2:12" x14ac:dyDescent="0.25">
      <c r="B197" s="119" t="s">
        <v>809</v>
      </c>
      <c r="C197" s="119"/>
      <c r="D197" s="317">
        <f>D196*10^3</f>
        <v>0</v>
      </c>
      <c r="E197" s="119"/>
      <c r="F197" s="119"/>
      <c r="G197" s="119"/>
      <c r="H197" s="119"/>
      <c r="I197" s="119" t="s">
        <v>321</v>
      </c>
      <c r="J197" s="294"/>
      <c r="K197" s="294"/>
      <c r="L197" s="294"/>
    </row>
    <row r="198" spans="2:12" x14ac:dyDescent="0.25">
      <c r="B198" s="45"/>
      <c r="C198" s="44"/>
      <c r="D198" s="45"/>
      <c r="E198" s="45"/>
      <c r="F198" s="45"/>
      <c r="G198" s="45"/>
      <c r="H198" s="45"/>
      <c r="I198" s="44"/>
      <c r="J198" s="290"/>
      <c r="K198" s="290"/>
      <c r="L198" s="290"/>
    </row>
    <row r="199" spans="2:12" ht="18.75" x14ac:dyDescent="0.3">
      <c r="B199" s="323" t="s">
        <v>325</v>
      </c>
      <c r="C199" s="44"/>
      <c r="D199" s="45"/>
      <c r="E199" s="45"/>
      <c r="F199" s="45"/>
      <c r="G199" s="45"/>
      <c r="H199" s="45"/>
      <c r="I199" s="44"/>
      <c r="J199" s="290"/>
      <c r="K199" s="290"/>
      <c r="L199" s="290"/>
    </row>
    <row r="200" spans="2:12" x14ac:dyDescent="0.25">
      <c r="B200" s="45"/>
      <c r="C200" s="44"/>
      <c r="D200" s="45"/>
      <c r="E200" s="45"/>
      <c r="F200" s="45"/>
      <c r="G200" s="45"/>
      <c r="H200" s="45"/>
      <c r="I200" s="44"/>
      <c r="J200" s="290"/>
      <c r="K200" s="290"/>
      <c r="L200" s="290"/>
    </row>
    <row r="201" spans="2:12" x14ac:dyDescent="0.25">
      <c r="B201" s="45"/>
      <c r="C201" s="44"/>
      <c r="D201" s="45"/>
      <c r="E201" s="45"/>
      <c r="F201" s="45"/>
      <c r="G201" s="45"/>
      <c r="H201" s="45"/>
      <c r="I201" s="44"/>
      <c r="J201" s="290"/>
      <c r="K201" s="290"/>
      <c r="L201" s="290"/>
    </row>
    <row r="202" spans="2:12" x14ac:dyDescent="0.25">
      <c r="B202" s="50" t="s">
        <v>143</v>
      </c>
      <c r="C202" s="52" t="s">
        <v>107</v>
      </c>
      <c r="D202" s="125">
        <f>'Nitrous oxide MMS'!M43*C$106</f>
        <v>2.320856933788988E-3</v>
      </c>
      <c r="E202" s="125">
        <f>'Nitrous oxide MMS'!N43*$C$107</f>
        <v>1.7764442195364845E-4</v>
      </c>
      <c r="F202" s="125">
        <f>'Nitrous oxide MMS'!O43*$C$107</f>
        <v>1.0701041324284394E-4</v>
      </c>
      <c r="G202" s="125">
        <f>'Nitrous oxide MMS'!P43*$C$107</f>
        <v>2.1572604200444039E-4</v>
      </c>
      <c r="H202" s="125">
        <f>'Nitrous oxide MMS'!Q43*$C$107</f>
        <v>1.3214747342642206E-4</v>
      </c>
      <c r="I202" s="44" t="s">
        <v>141</v>
      </c>
      <c r="J202" s="290"/>
      <c r="K202" s="290"/>
      <c r="L202" s="290"/>
    </row>
    <row r="203" spans="2:12" x14ac:dyDescent="0.25">
      <c r="B203" s="45"/>
      <c r="C203" s="52" t="s">
        <v>108</v>
      </c>
      <c r="D203" s="125">
        <f>'Nitrous oxide MMS'!M44*C$106</f>
        <v>2.320856933788988E-3</v>
      </c>
      <c r="E203" s="125">
        <f>'Nitrous oxide MMS'!N44*$C$107</f>
        <v>1.7764442195364845E-4</v>
      </c>
      <c r="F203" s="125">
        <f>'Nitrous oxide MMS'!O44*$C$107</f>
        <v>1.0701041324284394E-4</v>
      </c>
      <c r="G203" s="125">
        <f>'Nitrous oxide MMS'!P44*$C$107</f>
        <v>2.1572604200444039E-4</v>
      </c>
      <c r="H203" s="125">
        <f>'Nitrous oxide MMS'!Q44*$C$107</f>
        <v>1.3214747342642206E-4</v>
      </c>
      <c r="I203" s="44" t="s">
        <v>141</v>
      </c>
      <c r="J203" s="290"/>
      <c r="K203" s="290"/>
      <c r="L203" s="290"/>
    </row>
    <row r="204" spans="2:12" x14ac:dyDescent="0.25">
      <c r="B204" s="45"/>
      <c r="C204" s="52" t="s">
        <v>109</v>
      </c>
      <c r="D204" s="125">
        <f>'Nitrous oxide MMS'!M45*C$106</f>
        <v>2.320856933788988E-3</v>
      </c>
      <c r="E204" s="125">
        <f>'Nitrous oxide MMS'!N45*$C$107</f>
        <v>1.7764442195364845E-4</v>
      </c>
      <c r="F204" s="125">
        <f>'Nitrous oxide MMS'!O45*$C$107</f>
        <v>1.0701041324284394E-4</v>
      </c>
      <c r="G204" s="125">
        <f>'Nitrous oxide MMS'!P45*$C$107</f>
        <v>2.1572604200444039E-4</v>
      </c>
      <c r="H204" s="125">
        <f>'Nitrous oxide MMS'!Q45*$C$107</f>
        <v>1.3214747342642206E-4</v>
      </c>
      <c r="I204" s="44" t="s">
        <v>141</v>
      </c>
      <c r="J204" s="290"/>
      <c r="K204" s="290"/>
      <c r="L204" s="290"/>
    </row>
    <row r="205" spans="2:12" x14ac:dyDescent="0.25">
      <c r="B205" s="45"/>
      <c r="C205" s="52" t="s">
        <v>110</v>
      </c>
      <c r="D205" s="125">
        <f>'Nitrous oxide MMS'!M46*C$106</f>
        <v>2.320856933788988E-3</v>
      </c>
      <c r="E205" s="125">
        <f>'Nitrous oxide MMS'!N46*$C$107</f>
        <v>1.7764442195364845E-4</v>
      </c>
      <c r="F205" s="125">
        <f>'Nitrous oxide MMS'!O46*$C$107</f>
        <v>1.0701041324284394E-4</v>
      </c>
      <c r="G205" s="125">
        <f>'Nitrous oxide MMS'!P46*$C$107</f>
        <v>2.1572604200444039E-4</v>
      </c>
      <c r="H205" s="125">
        <f>'Nitrous oxide MMS'!Q46*$C$107</f>
        <v>1.3214747342642206E-4</v>
      </c>
      <c r="I205" s="44" t="s">
        <v>141</v>
      </c>
      <c r="J205" s="290"/>
      <c r="K205" s="290"/>
      <c r="L205" s="290"/>
    </row>
    <row r="206" spans="2:12" x14ac:dyDescent="0.25">
      <c r="B206" s="45"/>
      <c r="C206" s="44"/>
      <c r="D206" s="591"/>
      <c r="E206" s="45"/>
      <c r="F206" s="45"/>
      <c r="G206" s="45"/>
      <c r="H206" s="45"/>
      <c r="I206" s="44"/>
      <c r="J206" s="290"/>
      <c r="K206" s="290"/>
      <c r="L206" s="290"/>
    </row>
    <row r="207" spans="2:12" x14ac:dyDescent="0.25">
      <c r="B207" s="50" t="s">
        <v>144</v>
      </c>
      <c r="C207" s="52" t="s">
        <v>107</v>
      </c>
      <c r="D207" s="125">
        <f>'Nitrous oxide MMS'!M50*$C$106</f>
        <v>9.132072554261567E-3</v>
      </c>
      <c r="E207" s="125">
        <f>'Nitrous oxide MMS'!N50*$C$107</f>
        <v>8.3717009175464298E-4</v>
      </c>
      <c r="F207" s="125">
        <f>'Nitrous oxide MMS'!O50*$C$107</f>
        <v>4.6569394159791611E-4</v>
      </c>
      <c r="G207" s="125">
        <f>'Nitrous oxide MMS'!P50*$C$107</f>
        <v>1.0649935482940276E-3</v>
      </c>
      <c r="H207" s="125">
        <f>'Nitrous oxide MMS'!Q50*$C$107</f>
        <v>5.6353928720636703E-4</v>
      </c>
      <c r="I207" s="44" t="s">
        <v>141</v>
      </c>
      <c r="J207" s="290"/>
      <c r="K207" s="290"/>
      <c r="L207" s="290"/>
    </row>
    <row r="208" spans="2:12" x14ac:dyDescent="0.25">
      <c r="B208" s="45"/>
      <c r="C208" s="52" t="s">
        <v>108</v>
      </c>
      <c r="D208" s="125">
        <f>'Nitrous oxide MMS'!M51*$C$106</f>
        <v>9.132072554261567E-3</v>
      </c>
      <c r="E208" s="125">
        <f>'Nitrous oxide MMS'!N51*$C$107</f>
        <v>8.3717009175464298E-4</v>
      </c>
      <c r="F208" s="125">
        <f>'Nitrous oxide MMS'!O51*$C$107</f>
        <v>4.6569394159791611E-4</v>
      </c>
      <c r="G208" s="125">
        <f>'Nitrous oxide MMS'!P51*$C$107</f>
        <v>1.0649935482940276E-3</v>
      </c>
      <c r="H208" s="125">
        <f>'Nitrous oxide MMS'!Q51*$C$107</f>
        <v>5.6353928720636703E-4</v>
      </c>
      <c r="I208" s="44" t="s">
        <v>141</v>
      </c>
      <c r="J208" s="290"/>
      <c r="K208" s="290"/>
      <c r="L208" s="290"/>
    </row>
    <row r="209" spans="2:12" x14ac:dyDescent="0.25">
      <c r="B209" s="45"/>
      <c r="C209" s="52" t="s">
        <v>109</v>
      </c>
      <c r="D209" s="125">
        <f>'Nitrous oxide MMS'!M52*$C$106</f>
        <v>9.132072554261567E-3</v>
      </c>
      <c r="E209" s="125">
        <f>'Nitrous oxide MMS'!N52*$C$107</f>
        <v>8.3717009175464298E-4</v>
      </c>
      <c r="F209" s="125">
        <f>'Nitrous oxide MMS'!O52*$C$107</f>
        <v>4.6569394159791611E-4</v>
      </c>
      <c r="G209" s="125">
        <f>'Nitrous oxide MMS'!P52*$C$107</f>
        <v>1.0649935482940276E-3</v>
      </c>
      <c r="H209" s="125">
        <f>'Nitrous oxide MMS'!Q52*$C$107</f>
        <v>5.6353928720636703E-4</v>
      </c>
      <c r="I209" s="44" t="s">
        <v>141</v>
      </c>
      <c r="J209" s="290"/>
      <c r="K209" s="290"/>
      <c r="L209" s="290"/>
    </row>
    <row r="210" spans="2:12" x14ac:dyDescent="0.25">
      <c r="B210" s="45"/>
      <c r="C210" s="52" t="s">
        <v>110</v>
      </c>
      <c r="D210" s="125">
        <f>'Nitrous oxide MMS'!M53*$C$106</f>
        <v>9.132072554261567E-3</v>
      </c>
      <c r="E210" s="125">
        <f>'Nitrous oxide MMS'!N53*$C$107</f>
        <v>8.3717009175464298E-4</v>
      </c>
      <c r="F210" s="125">
        <f>'Nitrous oxide MMS'!O53*$C$107</f>
        <v>4.6569394159791611E-4</v>
      </c>
      <c r="G210" s="125">
        <f>'Nitrous oxide MMS'!P53*$C$107</f>
        <v>1.0649935482940276E-3</v>
      </c>
      <c r="H210" s="125">
        <f>'Nitrous oxide MMS'!Q53*$C$107</f>
        <v>5.6353928720636703E-4</v>
      </c>
      <c r="I210" s="44" t="s">
        <v>141</v>
      </c>
      <c r="J210" s="290"/>
      <c r="K210" s="290"/>
      <c r="L210" s="290"/>
    </row>
    <row r="211" spans="2:12" x14ac:dyDescent="0.25">
      <c r="B211" s="45"/>
      <c r="C211" s="44"/>
      <c r="D211" s="591"/>
      <c r="E211" s="45"/>
      <c r="F211" s="45"/>
      <c r="G211" s="45"/>
      <c r="H211" s="45"/>
      <c r="I211" s="44"/>
      <c r="J211" s="290"/>
      <c r="K211" s="290"/>
      <c r="L211" s="290"/>
    </row>
    <row r="212" spans="2:12" x14ac:dyDescent="0.25">
      <c r="B212" s="45"/>
      <c r="C212" s="48" t="s">
        <v>326</v>
      </c>
      <c r="D212" s="45"/>
      <c r="E212" s="45"/>
      <c r="F212" s="45"/>
      <c r="G212" s="45"/>
      <c r="H212" s="45"/>
      <c r="I212" s="44"/>
      <c r="J212" s="290"/>
      <c r="K212" s="290" t="s">
        <v>327</v>
      </c>
      <c r="L212" s="290" t="s">
        <v>413</v>
      </c>
    </row>
    <row r="213" spans="2:12" x14ac:dyDescent="0.25">
      <c r="B213" s="45"/>
      <c r="C213" s="44" t="s">
        <v>324</v>
      </c>
      <c r="D213" s="45">
        <v>4.0000000000000001E-3</v>
      </c>
      <c r="E213" s="45"/>
      <c r="F213" s="45"/>
      <c r="G213" s="45"/>
      <c r="H213" s="45"/>
      <c r="I213" s="44" t="s">
        <v>92</v>
      </c>
      <c r="J213" s="290"/>
      <c r="K213" s="290"/>
      <c r="L213" s="290"/>
    </row>
    <row r="214" spans="2:12" x14ac:dyDescent="0.25">
      <c r="B214" s="45"/>
      <c r="C214" s="44" t="s">
        <v>311</v>
      </c>
      <c r="D214" s="125">
        <f>GWP!C15</f>
        <v>1.5714285714285714</v>
      </c>
      <c r="E214" s="45"/>
      <c r="F214" s="45"/>
      <c r="G214" s="45"/>
      <c r="H214" s="45"/>
      <c r="I214" s="44"/>
      <c r="J214" s="290"/>
      <c r="K214" s="290"/>
      <c r="L214" s="290"/>
    </row>
    <row r="215" spans="2:12" x14ac:dyDescent="0.25">
      <c r="B215" s="45"/>
      <c r="C215" s="44"/>
      <c r="D215" s="45"/>
      <c r="E215" s="45"/>
      <c r="F215" s="45"/>
      <c r="G215" s="45"/>
      <c r="H215" s="45"/>
      <c r="I215" s="44"/>
      <c r="J215" s="290"/>
      <c r="K215" s="290"/>
      <c r="L215" s="290"/>
    </row>
    <row r="216" spans="2:12" x14ac:dyDescent="0.25">
      <c r="B216" s="45"/>
      <c r="C216" s="52" t="s">
        <v>107</v>
      </c>
      <c r="D216" s="55">
        <f>(D202*$D$213*$D$214)+(D207*$D$213*$D$214)</f>
        <v>7.1989842496317778E-5</v>
      </c>
      <c r="E216" s="55">
        <f t="shared" ref="E216:H216" si="22">(E202*$D$213*$D$214)+(E207*$D$213*$D$214)</f>
        <v>6.378834086166403E-6</v>
      </c>
      <c r="F216" s="55">
        <f t="shared" si="22"/>
        <v>3.5998559447133486E-6</v>
      </c>
      <c r="G216" s="55">
        <f t="shared" si="22"/>
        <v>8.0502374247332271E-6</v>
      </c>
      <c r="H216" s="55">
        <f t="shared" si="22"/>
        <v>4.3728882096918175E-6</v>
      </c>
      <c r="I216" s="44" t="s">
        <v>328</v>
      </c>
      <c r="J216" s="290"/>
      <c r="K216" s="290"/>
      <c r="L216" s="290"/>
    </row>
    <row r="217" spans="2:12" x14ac:dyDescent="0.25">
      <c r="B217" s="45"/>
      <c r="C217" s="52" t="s">
        <v>108</v>
      </c>
      <c r="D217" s="55">
        <f t="shared" ref="D217:H219" si="23">(D203*$D$213*$D$214)+(D208*$D$213*$D$214)</f>
        <v>7.1989842496317778E-5</v>
      </c>
      <c r="E217" s="55">
        <f t="shared" si="23"/>
        <v>6.378834086166403E-6</v>
      </c>
      <c r="F217" s="55">
        <f t="shared" si="23"/>
        <v>3.5998559447133486E-6</v>
      </c>
      <c r="G217" s="55">
        <f t="shared" si="23"/>
        <v>8.0502374247332271E-6</v>
      </c>
      <c r="H217" s="55">
        <f t="shared" si="23"/>
        <v>4.3728882096918175E-6</v>
      </c>
      <c r="I217" s="44" t="s">
        <v>328</v>
      </c>
      <c r="J217" s="290"/>
      <c r="K217" s="290"/>
      <c r="L217" s="290"/>
    </row>
    <row r="218" spans="2:12" x14ac:dyDescent="0.25">
      <c r="B218" s="45"/>
      <c r="C218" s="52" t="s">
        <v>109</v>
      </c>
      <c r="D218" s="55">
        <f t="shared" si="23"/>
        <v>7.1989842496317778E-5</v>
      </c>
      <c r="E218" s="55">
        <f t="shared" si="23"/>
        <v>6.378834086166403E-6</v>
      </c>
      <c r="F218" s="55">
        <f t="shared" si="23"/>
        <v>3.5998559447133486E-6</v>
      </c>
      <c r="G218" s="55">
        <f t="shared" si="23"/>
        <v>8.0502374247332271E-6</v>
      </c>
      <c r="H218" s="55">
        <f t="shared" si="23"/>
        <v>4.3728882096918175E-6</v>
      </c>
      <c r="I218" s="44" t="s">
        <v>328</v>
      </c>
      <c r="J218" s="290"/>
      <c r="K218" s="290"/>
      <c r="L218" s="290"/>
    </row>
    <row r="219" spans="2:12" x14ac:dyDescent="0.25">
      <c r="B219" s="45"/>
      <c r="C219" s="52" t="s">
        <v>110</v>
      </c>
      <c r="D219" s="55">
        <f t="shared" si="23"/>
        <v>7.1989842496317778E-5</v>
      </c>
      <c r="E219" s="55">
        <f t="shared" si="23"/>
        <v>6.378834086166403E-6</v>
      </c>
      <c r="F219" s="55">
        <f t="shared" si="23"/>
        <v>3.5998559447133486E-6</v>
      </c>
      <c r="G219" s="55">
        <f t="shared" si="23"/>
        <v>8.0502374247332271E-6</v>
      </c>
      <c r="H219" s="55">
        <f t="shared" si="23"/>
        <v>4.3728882096918175E-6</v>
      </c>
      <c r="I219" s="44" t="s">
        <v>328</v>
      </c>
      <c r="J219" s="290"/>
      <c r="K219" s="290"/>
      <c r="L219" s="290"/>
    </row>
    <row r="220" spans="2:12" x14ac:dyDescent="0.25">
      <c r="B220" s="45"/>
      <c r="C220" s="44"/>
      <c r="D220" s="55">
        <f>SUM(D216:D219)</f>
        <v>2.8795936998527111E-4</v>
      </c>
      <c r="E220" s="45"/>
      <c r="F220" s="45"/>
      <c r="G220" s="45"/>
      <c r="H220" s="45"/>
      <c r="I220" s="44"/>
      <c r="J220" s="290"/>
      <c r="K220" s="290"/>
      <c r="L220" s="290"/>
    </row>
    <row r="221" spans="2:12" x14ac:dyDescent="0.25">
      <c r="B221" s="50" t="s">
        <v>810</v>
      </c>
      <c r="C221" s="44"/>
      <c r="D221" s="590">
        <f>SUM(D216:D219)</f>
        <v>2.8795936998527111E-4</v>
      </c>
      <c r="E221" s="45"/>
      <c r="F221" s="45"/>
      <c r="G221" s="45"/>
      <c r="H221" s="45"/>
      <c r="I221" s="44" t="s">
        <v>301</v>
      </c>
      <c r="J221" s="290"/>
      <c r="K221" s="290"/>
      <c r="L221" s="290"/>
    </row>
    <row r="222" spans="2:12" x14ac:dyDescent="0.25">
      <c r="B222" s="50" t="s">
        <v>810</v>
      </c>
      <c r="C222" s="44"/>
      <c r="D222" s="125">
        <f>D221*GWP!C6</f>
        <v>8.5811892255610797E-2</v>
      </c>
      <c r="E222" s="45"/>
      <c r="F222" s="45"/>
      <c r="G222" s="45"/>
      <c r="H222" s="45"/>
      <c r="I222" s="44" t="s">
        <v>320</v>
      </c>
      <c r="J222" s="290"/>
      <c r="K222" s="290"/>
      <c r="L222" s="290"/>
    </row>
    <row r="223" spans="2:12" x14ac:dyDescent="0.25">
      <c r="B223" s="119" t="s">
        <v>810</v>
      </c>
      <c r="C223" s="119"/>
      <c r="D223" s="317">
        <f>D222*10^3</f>
        <v>85.8118922556108</v>
      </c>
      <c r="E223" s="119"/>
      <c r="F223" s="119"/>
      <c r="G223" s="119"/>
      <c r="H223" s="119"/>
      <c r="I223" s="119" t="s">
        <v>321</v>
      </c>
      <c r="J223" s="294"/>
      <c r="K223" s="294"/>
      <c r="L223" s="294"/>
    </row>
    <row r="224" spans="2:12" x14ac:dyDescent="0.25">
      <c r="B224" s="45"/>
      <c r="C224" s="44"/>
      <c r="D224" s="45"/>
      <c r="E224" s="45"/>
      <c r="F224" s="45"/>
      <c r="G224" s="45"/>
      <c r="H224" s="45"/>
      <c r="I224" s="44"/>
      <c r="J224" s="290"/>
      <c r="K224" s="290"/>
      <c r="L224" s="290"/>
    </row>
    <row r="225" spans="2:12" ht="18.75" x14ac:dyDescent="0.3">
      <c r="B225" s="323" t="s">
        <v>286</v>
      </c>
      <c r="C225" s="44"/>
      <c r="D225" s="45"/>
      <c r="E225" s="45"/>
      <c r="F225" s="45"/>
      <c r="G225" s="45"/>
      <c r="H225" s="45"/>
      <c r="I225" s="44"/>
      <c r="J225" s="290"/>
      <c r="K225" s="290"/>
      <c r="L225" s="290"/>
    </row>
    <row r="226" spans="2:12" x14ac:dyDescent="0.25">
      <c r="B226" s="45"/>
      <c r="C226" s="44"/>
      <c r="D226" s="45"/>
      <c r="E226" s="45"/>
      <c r="F226" s="45"/>
      <c r="G226" s="45"/>
      <c r="H226" s="45"/>
      <c r="I226" s="44"/>
      <c r="J226" s="290"/>
      <c r="K226" s="290"/>
      <c r="L226" s="290"/>
    </row>
    <row r="227" spans="2:12" x14ac:dyDescent="0.25">
      <c r="B227" s="45" t="s">
        <v>419</v>
      </c>
      <c r="C227" s="44"/>
      <c r="D227" s="50" t="s">
        <v>93</v>
      </c>
      <c r="E227" s="45"/>
      <c r="F227" s="45"/>
      <c r="G227" s="45"/>
      <c r="H227" s="45"/>
      <c r="I227" s="44"/>
      <c r="J227" s="290" t="s">
        <v>162</v>
      </c>
      <c r="K227" s="290" t="s">
        <v>329</v>
      </c>
      <c r="L227" s="290" t="s">
        <v>759</v>
      </c>
    </row>
    <row r="228" spans="2:12" x14ac:dyDescent="0.25">
      <c r="B228" s="45"/>
      <c r="C228" s="44"/>
      <c r="D228" s="45" t="s">
        <v>94</v>
      </c>
      <c r="E228" s="45"/>
      <c r="F228" s="45"/>
      <c r="G228" s="45"/>
      <c r="H228" s="45"/>
      <c r="I228" s="44" t="s">
        <v>87</v>
      </c>
      <c r="J228" s="290"/>
      <c r="K228" s="290"/>
      <c r="L228" s="290"/>
    </row>
    <row r="229" spans="2:12" x14ac:dyDescent="0.25">
      <c r="B229" s="45"/>
      <c r="C229" s="44"/>
      <c r="D229" s="45" t="s">
        <v>88</v>
      </c>
      <c r="E229" s="45"/>
      <c r="F229" s="45"/>
      <c r="G229" s="45"/>
      <c r="H229" s="45"/>
      <c r="I229" s="44" t="s">
        <v>87</v>
      </c>
      <c r="J229" s="290"/>
      <c r="K229" s="290"/>
      <c r="L229" s="290"/>
    </row>
    <row r="230" spans="2:12" x14ac:dyDescent="0.25">
      <c r="B230" s="45"/>
      <c r="C230" s="44"/>
      <c r="D230" s="45" t="s">
        <v>471</v>
      </c>
      <c r="E230" s="45">
        <v>0.1</v>
      </c>
      <c r="F230" s="45"/>
      <c r="G230" s="45"/>
      <c r="H230" s="45"/>
      <c r="I230" s="44" t="s">
        <v>95</v>
      </c>
      <c r="J230" s="290"/>
      <c r="K230" s="290"/>
      <c r="L230" s="290"/>
    </row>
    <row r="231" spans="2:12" x14ac:dyDescent="0.25">
      <c r="B231" s="45"/>
      <c r="C231" s="44"/>
      <c r="D231" s="45"/>
      <c r="E231" s="45"/>
      <c r="F231" s="45"/>
      <c r="G231" s="45"/>
      <c r="H231" s="45"/>
      <c r="I231" s="44"/>
      <c r="J231" s="290"/>
      <c r="K231" s="290"/>
      <c r="L231" s="290"/>
    </row>
    <row r="232" spans="2:12" x14ac:dyDescent="0.25">
      <c r="B232" s="45"/>
      <c r="C232" s="44"/>
      <c r="D232" s="124" t="s">
        <v>446</v>
      </c>
      <c r="E232" s="124"/>
      <c r="F232" s="124" t="s">
        <v>444</v>
      </c>
      <c r="G232" s="45"/>
      <c r="H232" s="45"/>
      <c r="I232" s="44"/>
      <c r="J232" s="290"/>
      <c r="K232" s="290"/>
      <c r="L232" s="290"/>
    </row>
    <row r="233" spans="2:12" x14ac:dyDescent="0.25">
      <c r="B233" s="45" t="s">
        <v>48</v>
      </c>
      <c r="C233" s="52" t="s">
        <v>107</v>
      </c>
      <c r="D233" s="45">
        <f>(D11*10^-6)*$E$230</f>
        <v>0</v>
      </c>
      <c r="E233" s="55"/>
      <c r="F233" s="45">
        <f>(F11*10^-6)*$E$230</f>
        <v>0</v>
      </c>
      <c r="G233" s="45"/>
      <c r="H233" s="45"/>
      <c r="I233" s="44" t="s">
        <v>141</v>
      </c>
      <c r="J233" s="290"/>
      <c r="K233" s="290"/>
      <c r="L233" s="290"/>
    </row>
    <row r="234" spans="2:12" x14ac:dyDescent="0.25">
      <c r="B234" s="45"/>
      <c r="C234" s="52" t="s">
        <v>108</v>
      </c>
      <c r="D234" s="45">
        <f>(D12*10^-6)*$E$230</f>
        <v>0</v>
      </c>
      <c r="E234" s="55"/>
      <c r="F234" s="45">
        <f>(F12*10^-6)*$E$230</f>
        <v>0</v>
      </c>
      <c r="G234" s="45"/>
      <c r="H234" s="45"/>
      <c r="I234" s="44" t="s">
        <v>141</v>
      </c>
      <c r="J234" s="290"/>
      <c r="K234" s="290"/>
      <c r="L234" s="290"/>
    </row>
    <row r="235" spans="2:12" x14ac:dyDescent="0.25">
      <c r="B235" s="45"/>
      <c r="C235" s="52" t="s">
        <v>109</v>
      </c>
      <c r="D235" s="45">
        <f>(D13*10^-6)*$E$230</f>
        <v>0</v>
      </c>
      <c r="E235" s="55"/>
      <c r="F235" s="45">
        <f>(F13*10^-6)*$E$230</f>
        <v>0</v>
      </c>
      <c r="G235" s="45"/>
      <c r="H235" s="45"/>
      <c r="I235" s="44" t="s">
        <v>141</v>
      </c>
      <c r="J235" s="290"/>
      <c r="K235" s="290"/>
      <c r="L235" s="290"/>
    </row>
    <row r="236" spans="2:12" x14ac:dyDescent="0.25">
      <c r="B236" s="45"/>
      <c r="C236" s="52" t="s">
        <v>110</v>
      </c>
      <c r="D236" s="45">
        <f>(D14*10^-6)*$E$230</f>
        <v>0</v>
      </c>
      <c r="E236" s="55"/>
      <c r="F236" s="45">
        <f>(F14*10^-6)*$E$230</f>
        <v>0</v>
      </c>
      <c r="G236" s="45"/>
      <c r="H236" s="45"/>
      <c r="I236" s="44" t="s">
        <v>141</v>
      </c>
      <c r="J236" s="290"/>
      <c r="K236" s="290"/>
      <c r="L236" s="290"/>
    </row>
    <row r="237" spans="2:12" x14ac:dyDescent="0.25">
      <c r="B237" s="45"/>
      <c r="C237" s="52"/>
      <c r="D237" s="50"/>
      <c r="E237" s="50"/>
      <c r="F237" s="45"/>
      <c r="G237" s="45"/>
      <c r="H237" s="45"/>
      <c r="I237" s="44" t="s">
        <v>315</v>
      </c>
      <c r="J237" s="290"/>
      <c r="K237" s="290"/>
      <c r="L237" s="290"/>
    </row>
    <row r="238" spans="2:12" x14ac:dyDescent="0.25">
      <c r="B238" s="45"/>
      <c r="C238" s="52"/>
      <c r="D238" s="124" t="s">
        <v>446</v>
      </c>
      <c r="E238" s="124"/>
      <c r="F238" s="124" t="s">
        <v>444</v>
      </c>
      <c r="G238" s="44"/>
      <c r="H238" s="44"/>
      <c r="I238" s="126"/>
      <c r="J238" s="290"/>
      <c r="K238" s="291"/>
      <c r="L238" s="291"/>
    </row>
    <row r="239" spans="2:12" x14ac:dyDescent="0.25">
      <c r="B239" s="45" t="s">
        <v>49</v>
      </c>
      <c r="C239" s="52" t="s">
        <v>107</v>
      </c>
      <c r="D239" s="45">
        <f>(D17*10^-6)*$E$230</f>
        <v>0</v>
      </c>
      <c r="E239" s="49"/>
      <c r="F239" s="45">
        <f>(F17*10^-6)*$E$230</f>
        <v>0</v>
      </c>
      <c r="G239" s="44"/>
      <c r="H239" s="44"/>
      <c r="I239" s="126"/>
      <c r="J239" s="290"/>
      <c r="K239" s="291"/>
      <c r="L239" s="291"/>
    </row>
    <row r="240" spans="2:12" x14ac:dyDescent="0.25">
      <c r="B240" s="45"/>
      <c r="C240" s="52" t="s">
        <v>108</v>
      </c>
      <c r="D240" s="45">
        <f>(D18*10^-6)*$E$230</f>
        <v>0</v>
      </c>
      <c r="E240" s="49"/>
      <c r="F240" s="45">
        <f>(F18*10^-6)*$E$230</f>
        <v>0</v>
      </c>
      <c r="G240" s="44"/>
      <c r="H240" s="44"/>
      <c r="I240" s="126"/>
      <c r="J240" s="290"/>
      <c r="K240" s="291"/>
      <c r="L240" s="291"/>
    </row>
    <row r="241" spans="2:28" x14ac:dyDescent="0.25">
      <c r="B241" s="45"/>
      <c r="C241" s="52" t="s">
        <v>109</v>
      </c>
      <c r="D241" s="45">
        <f>(D19*10^-6)*$E$230</f>
        <v>0</v>
      </c>
      <c r="E241" s="49"/>
      <c r="F241" s="45">
        <f>(F19*10^-6)*$E$230</f>
        <v>4.0000000000000001E-3</v>
      </c>
      <c r="G241" s="44"/>
      <c r="H241" s="44"/>
      <c r="I241" s="126"/>
      <c r="J241" s="290"/>
      <c r="K241" s="291"/>
      <c r="L241" s="291"/>
      <c r="N241"/>
      <c r="O241"/>
      <c r="P241"/>
      <c r="Q241"/>
      <c r="R241"/>
      <c r="S241"/>
      <c r="T241"/>
      <c r="U241"/>
      <c r="V241"/>
      <c r="W241"/>
      <c r="X241"/>
      <c r="Y241"/>
      <c r="Z241"/>
      <c r="AA241"/>
      <c r="AB241"/>
    </row>
    <row r="242" spans="2:28" x14ac:dyDescent="0.25">
      <c r="B242" s="45"/>
      <c r="C242" s="52" t="s">
        <v>110</v>
      </c>
      <c r="D242" s="45">
        <f>(D20*10^-6)*$E$230</f>
        <v>0</v>
      </c>
      <c r="E242" s="49"/>
      <c r="F242" s="45">
        <f>(F20*10^-6)*$E$230</f>
        <v>0</v>
      </c>
      <c r="G242" s="44"/>
      <c r="H242" s="44"/>
      <c r="I242" s="126"/>
      <c r="J242" s="290"/>
      <c r="K242" s="291"/>
      <c r="L242" s="291"/>
      <c r="N242"/>
      <c r="O242"/>
      <c r="P242"/>
      <c r="Q242"/>
      <c r="R242"/>
      <c r="S242"/>
      <c r="T242"/>
      <c r="U242"/>
      <c r="V242"/>
      <c r="W242"/>
      <c r="X242"/>
      <c r="Y242"/>
      <c r="Z242"/>
      <c r="AA242"/>
      <c r="AB242"/>
    </row>
    <row r="243" spans="2:28" x14ac:dyDescent="0.25">
      <c r="B243" s="44"/>
      <c r="C243" s="52"/>
      <c r="D243" s="51"/>
      <c r="E243" s="49"/>
      <c r="F243" s="44"/>
      <c r="G243" s="44"/>
      <c r="H243" s="44"/>
      <c r="I243" s="126"/>
      <c r="J243" s="290"/>
      <c r="K243" s="291"/>
      <c r="L243" s="291"/>
      <c r="N243"/>
      <c r="O243"/>
      <c r="P243"/>
      <c r="Q243"/>
      <c r="R243"/>
      <c r="S243"/>
      <c r="T243"/>
      <c r="U243"/>
      <c r="V243"/>
      <c r="W243"/>
      <c r="X243"/>
      <c r="Y243"/>
      <c r="Z243"/>
      <c r="AA243"/>
      <c r="AB243"/>
    </row>
    <row r="244" spans="2:28" x14ac:dyDescent="0.25">
      <c r="B244" s="44"/>
      <c r="C244" s="52"/>
      <c r="D244" s="51"/>
      <c r="E244" s="49"/>
      <c r="F244" s="44"/>
      <c r="G244" s="44"/>
      <c r="H244" s="44"/>
      <c r="I244" s="126"/>
      <c r="J244" s="290"/>
      <c r="K244" s="291"/>
      <c r="L244" s="291"/>
      <c r="N244"/>
      <c r="O244"/>
      <c r="P244"/>
      <c r="Q244"/>
      <c r="R244"/>
      <c r="S244"/>
      <c r="T244"/>
      <c r="U244"/>
      <c r="V244"/>
      <c r="W244"/>
      <c r="X244"/>
      <c r="Y244"/>
      <c r="Z244"/>
      <c r="AA244"/>
      <c r="AB244"/>
    </row>
    <row r="245" spans="2:28" x14ac:dyDescent="0.25">
      <c r="B245" s="303" t="s">
        <v>410</v>
      </c>
      <c r="C245" s="382"/>
      <c r="D245" s="140"/>
      <c r="E245" s="383"/>
      <c r="F245" s="304"/>
      <c r="G245" s="304"/>
      <c r="H245" s="304"/>
      <c r="I245" s="301"/>
      <c r="J245" s="290"/>
      <c r="K245" s="291"/>
      <c r="L245" s="291"/>
      <c r="N245"/>
      <c r="O245"/>
      <c r="P245"/>
      <c r="Q245"/>
      <c r="R245"/>
      <c r="S245"/>
      <c r="T245"/>
      <c r="U245"/>
      <c r="V245"/>
      <c r="W245"/>
      <c r="X245"/>
      <c r="Y245"/>
      <c r="Z245"/>
      <c r="AA245"/>
      <c r="AB245"/>
    </row>
    <row r="246" spans="2:28" x14ac:dyDescent="0.25">
      <c r="B246" s="230"/>
      <c r="C246" s="124"/>
      <c r="D246" s="51"/>
      <c r="E246" s="49"/>
      <c r="F246" s="45"/>
      <c r="G246" s="45"/>
      <c r="H246" s="45"/>
      <c r="I246" s="302"/>
      <c r="J246" s="290"/>
      <c r="K246" s="291"/>
      <c r="L246" s="291"/>
      <c r="N246"/>
      <c r="O246"/>
      <c r="P246"/>
      <c r="Q246"/>
      <c r="R246"/>
      <c r="S246"/>
      <c r="T246"/>
      <c r="U246"/>
      <c r="V246"/>
      <c r="W246"/>
      <c r="X246"/>
      <c r="Y246"/>
      <c r="Z246"/>
      <c r="AA246"/>
      <c r="AB246"/>
    </row>
    <row r="247" spans="2:28" x14ac:dyDescent="0.25">
      <c r="B247" s="384" t="s">
        <v>25</v>
      </c>
      <c r="C247" s="124" t="s">
        <v>107</v>
      </c>
      <c r="D247" s="51">
        <f>D162</f>
        <v>1.3553154082863667E-3</v>
      </c>
      <c r="E247" s="51">
        <f t="shared" ref="D247:H250" si="24">E162</f>
        <v>0</v>
      </c>
      <c r="F247" s="51">
        <f t="shared" si="24"/>
        <v>0</v>
      </c>
      <c r="G247" s="51">
        <f t="shared" si="24"/>
        <v>0</v>
      </c>
      <c r="H247" s="51">
        <f t="shared" si="24"/>
        <v>0</v>
      </c>
      <c r="I247" s="143" t="s">
        <v>141</v>
      </c>
      <c r="J247" s="290"/>
      <c r="K247" s="291"/>
      <c r="L247" s="291"/>
      <c r="N247"/>
      <c r="O247"/>
      <c r="P247"/>
      <c r="Q247"/>
      <c r="R247"/>
      <c r="S247"/>
      <c r="T247"/>
      <c r="U247"/>
      <c r="V247"/>
      <c r="W247"/>
      <c r="X247"/>
      <c r="Y247"/>
      <c r="Z247"/>
      <c r="AA247"/>
      <c r="AB247"/>
    </row>
    <row r="248" spans="2:28" x14ac:dyDescent="0.25">
      <c r="B248" s="230"/>
      <c r="C248" s="124" t="s">
        <v>108</v>
      </c>
      <c r="D248" s="51">
        <f t="shared" si="24"/>
        <v>1.3553154082863667E-3</v>
      </c>
      <c r="E248" s="51">
        <f t="shared" si="24"/>
        <v>0</v>
      </c>
      <c r="F248" s="51">
        <f t="shared" si="24"/>
        <v>0</v>
      </c>
      <c r="G248" s="51">
        <f t="shared" si="24"/>
        <v>0</v>
      </c>
      <c r="H248" s="51">
        <f t="shared" si="24"/>
        <v>0</v>
      </c>
      <c r="I248" s="143" t="s">
        <v>141</v>
      </c>
      <c r="J248" s="290"/>
      <c r="K248" s="291"/>
      <c r="L248" s="291"/>
      <c r="N248"/>
      <c r="O248"/>
      <c r="P248"/>
      <c r="Q248"/>
      <c r="R248"/>
      <c r="S248"/>
      <c r="T248"/>
      <c r="U248"/>
      <c r="V248"/>
      <c r="W248"/>
      <c r="X248"/>
      <c r="Y248"/>
      <c r="Z248"/>
      <c r="AA248"/>
      <c r="AB248"/>
    </row>
    <row r="249" spans="2:28" x14ac:dyDescent="0.25">
      <c r="B249" s="230"/>
      <c r="C249" s="124" t="s">
        <v>109</v>
      </c>
      <c r="D249" s="51">
        <f t="shared" si="24"/>
        <v>1.3553154082863667E-3</v>
      </c>
      <c r="E249" s="51">
        <f t="shared" si="24"/>
        <v>0</v>
      </c>
      <c r="F249" s="51">
        <f t="shared" si="24"/>
        <v>0</v>
      </c>
      <c r="G249" s="51">
        <f t="shared" si="24"/>
        <v>0</v>
      </c>
      <c r="H249" s="51">
        <f t="shared" si="24"/>
        <v>0</v>
      </c>
      <c r="I249" s="143" t="s">
        <v>141</v>
      </c>
      <c r="J249" s="290"/>
      <c r="K249" s="291"/>
      <c r="L249" s="291"/>
      <c r="N249"/>
      <c r="O249"/>
      <c r="P249"/>
      <c r="Q249"/>
      <c r="R249"/>
      <c r="S249"/>
      <c r="T249"/>
      <c r="U249"/>
      <c r="V249"/>
      <c r="W249"/>
      <c r="X249"/>
      <c r="Y249"/>
      <c r="Z249"/>
      <c r="AA249"/>
      <c r="AB249"/>
    </row>
    <row r="250" spans="2:28" x14ac:dyDescent="0.25">
      <c r="B250" s="230"/>
      <c r="C250" s="124" t="s">
        <v>110</v>
      </c>
      <c r="D250" s="51">
        <f t="shared" si="24"/>
        <v>1.3553154082863667E-3</v>
      </c>
      <c r="E250" s="51">
        <f t="shared" si="24"/>
        <v>0</v>
      </c>
      <c r="F250" s="51">
        <f t="shared" si="24"/>
        <v>0</v>
      </c>
      <c r="G250" s="51">
        <f t="shared" si="24"/>
        <v>0</v>
      </c>
      <c r="H250" s="51">
        <f t="shared" si="24"/>
        <v>0</v>
      </c>
      <c r="I250" s="143" t="s">
        <v>141</v>
      </c>
      <c r="J250" s="290"/>
      <c r="K250" s="291"/>
      <c r="L250" s="291"/>
      <c r="N250"/>
      <c r="O250"/>
      <c r="P250"/>
      <c r="Q250"/>
      <c r="R250"/>
      <c r="S250"/>
      <c r="T250"/>
      <c r="U250"/>
      <c r="V250"/>
      <c r="W250"/>
      <c r="X250"/>
      <c r="Y250"/>
      <c r="Z250"/>
      <c r="AA250"/>
      <c r="AB250"/>
    </row>
    <row r="251" spans="2:28" x14ac:dyDescent="0.25">
      <c r="B251" s="230"/>
      <c r="C251" s="124"/>
      <c r="D251" s="51"/>
      <c r="E251" s="49"/>
      <c r="F251" s="45"/>
      <c r="G251" s="45"/>
      <c r="H251" s="45"/>
      <c r="I251" s="302"/>
      <c r="J251" s="290"/>
      <c r="K251" s="291"/>
      <c r="L251" s="291"/>
      <c r="N251"/>
      <c r="O251"/>
      <c r="P251"/>
      <c r="Q251"/>
      <c r="R251"/>
      <c r="S251"/>
      <c r="T251"/>
      <c r="U251"/>
      <c r="V251"/>
      <c r="W251"/>
      <c r="X251"/>
      <c r="Y251"/>
      <c r="Z251"/>
      <c r="AA251"/>
      <c r="AB251"/>
    </row>
    <row r="252" spans="2:28" x14ac:dyDescent="0.25">
      <c r="B252" s="384" t="s">
        <v>143</v>
      </c>
      <c r="C252" s="124" t="s">
        <v>107</v>
      </c>
      <c r="D252" s="51">
        <f>'Nitrous oxide MMS'!M43*$C$106</f>
        <v>2.320856933788988E-3</v>
      </c>
      <c r="E252" s="51">
        <f>'Nitrous oxide MMS'!N43*$C$107</f>
        <v>1.7764442195364845E-4</v>
      </c>
      <c r="F252" s="51">
        <f>'Nitrous oxide MMS'!O43*$C$107</f>
        <v>1.0701041324284394E-4</v>
      </c>
      <c r="G252" s="51">
        <f>'Nitrous oxide MMS'!P43*$C$107</f>
        <v>2.1572604200444039E-4</v>
      </c>
      <c r="H252" s="51">
        <f>'Nitrous oxide MMS'!Q43*$C$107</f>
        <v>1.3214747342642206E-4</v>
      </c>
      <c r="I252" s="143" t="s">
        <v>141</v>
      </c>
      <c r="J252" s="290"/>
      <c r="K252" s="291"/>
      <c r="L252" s="291"/>
      <c r="N252"/>
      <c r="O252"/>
      <c r="P252"/>
      <c r="Q252"/>
      <c r="R252"/>
      <c r="S252"/>
      <c r="T252"/>
      <c r="U252"/>
      <c r="V252"/>
      <c r="W252"/>
      <c r="X252"/>
      <c r="Y252"/>
      <c r="Z252"/>
      <c r="AA252"/>
      <c r="AB252"/>
    </row>
    <row r="253" spans="2:28" x14ac:dyDescent="0.25">
      <c r="B253" s="230"/>
      <c r="C253" s="124" t="s">
        <v>108</v>
      </c>
      <c r="D253" s="51">
        <f>'Nitrous oxide MMS'!M44*$C$106</f>
        <v>2.320856933788988E-3</v>
      </c>
      <c r="E253" s="51">
        <f>'Nitrous oxide MMS'!N44*$C$107</f>
        <v>1.7764442195364845E-4</v>
      </c>
      <c r="F253" s="51">
        <f>'Nitrous oxide MMS'!O44*$C$107</f>
        <v>1.0701041324284394E-4</v>
      </c>
      <c r="G253" s="51">
        <f>'Nitrous oxide MMS'!P44*$C$107</f>
        <v>2.1572604200444039E-4</v>
      </c>
      <c r="H253" s="51">
        <f>'Nitrous oxide MMS'!Q44*$C$107</f>
        <v>1.3214747342642206E-4</v>
      </c>
      <c r="I253" s="143" t="s">
        <v>141</v>
      </c>
      <c r="J253" s="290"/>
      <c r="K253" s="291"/>
      <c r="L253" s="291"/>
      <c r="N253"/>
      <c r="O253"/>
      <c r="P253"/>
      <c r="Q253"/>
      <c r="R253"/>
      <c r="S253"/>
      <c r="T253"/>
      <c r="U253"/>
      <c r="V253"/>
      <c r="W253"/>
      <c r="X253"/>
      <c r="Y253"/>
      <c r="Z253"/>
      <c r="AA253"/>
      <c r="AB253"/>
    </row>
    <row r="254" spans="2:28" x14ac:dyDescent="0.25">
      <c r="B254" s="230"/>
      <c r="C254" s="124" t="s">
        <v>109</v>
      </c>
      <c r="D254" s="51">
        <f>'Nitrous oxide MMS'!M45*$C$106</f>
        <v>2.320856933788988E-3</v>
      </c>
      <c r="E254" s="51">
        <f>'Nitrous oxide MMS'!N45*$C$107</f>
        <v>1.7764442195364845E-4</v>
      </c>
      <c r="F254" s="51">
        <f>'Nitrous oxide MMS'!O45*$C$107</f>
        <v>1.0701041324284394E-4</v>
      </c>
      <c r="G254" s="51">
        <f>'Nitrous oxide MMS'!P45*$C$107</f>
        <v>2.1572604200444039E-4</v>
      </c>
      <c r="H254" s="51">
        <f>'Nitrous oxide MMS'!Q45*$C$107</f>
        <v>1.3214747342642206E-4</v>
      </c>
      <c r="I254" s="143" t="s">
        <v>141</v>
      </c>
      <c r="J254" s="290"/>
      <c r="K254" s="291"/>
      <c r="L254" s="291"/>
      <c r="N254"/>
      <c r="O254"/>
      <c r="P254"/>
      <c r="Q254"/>
      <c r="R254"/>
      <c r="S254"/>
      <c r="T254"/>
      <c r="U254"/>
      <c r="V254"/>
      <c r="W254"/>
      <c r="X254"/>
      <c r="Y254"/>
      <c r="Z254"/>
      <c r="AA254"/>
      <c r="AB254"/>
    </row>
    <row r="255" spans="2:28" x14ac:dyDescent="0.25">
      <c r="B255" s="230"/>
      <c r="C255" s="124" t="s">
        <v>110</v>
      </c>
      <c r="D255" s="51">
        <f>'Nitrous oxide MMS'!M46*$C$106</f>
        <v>2.320856933788988E-3</v>
      </c>
      <c r="E255" s="51">
        <f>'Nitrous oxide MMS'!N46*$C$107</f>
        <v>1.7764442195364845E-4</v>
      </c>
      <c r="F255" s="51">
        <f>'Nitrous oxide MMS'!O46*$C$107</f>
        <v>1.0701041324284394E-4</v>
      </c>
      <c r="G255" s="51">
        <f>'Nitrous oxide MMS'!P46*$C$107</f>
        <v>2.1572604200444039E-4</v>
      </c>
      <c r="H255" s="51">
        <f>'Nitrous oxide MMS'!Q46*$C$107</f>
        <v>1.3214747342642206E-4</v>
      </c>
      <c r="I255" s="143" t="s">
        <v>141</v>
      </c>
      <c r="J255" s="290"/>
      <c r="K255" s="291"/>
      <c r="L255" s="291"/>
      <c r="N255"/>
      <c r="O255"/>
      <c r="P255"/>
      <c r="Q255"/>
      <c r="R255"/>
      <c r="S255"/>
      <c r="T255"/>
      <c r="U255"/>
      <c r="V255"/>
      <c r="W255"/>
      <c r="X255"/>
      <c r="Y255"/>
      <c r="Z255"/>
      <c r="AA255"/>
      <c r="AB255"/>
    </row>
    <row r="256" spans="2:28" x14ac:dyDescent="0.25">
      <c r="B256" s="230"/>
      <c r="C256" s="124"/>
      <c r="D256" s="51"/>
      <c r="E256" s="49"/>
      <c r="F256" s="45"/>
      <c r="G256" s="45"/>
      <c r="H256" s="45"/>
      <c r="I256" s="302"/>
      <c r="J256" s="290"/>
      <c r="K256" s="291"/>
      <c r="L256" s="291"/>
      <c r="N256"/>
      <c r="O256"/>
      <c r="P256"/>
      <c r="Q256"/>
      <c r="R256"/>
      <c r="S256"/>
      <c r="T256"/>
      <c r="U256"/>
      <c r="V256"/>
      <c r="W256"/>
      <c r="X256"/>
      <c r="Y256"/>
      <c r="Z256"/>
      <c r="AA256"/>
      <c r="AB256"/>
    </row>
    <row r="257" spans="2:28" x14ac:dyDescent="0.25">
      <c r="B257" s="384" t="s">
        <v>144</v>
      </c>
      <c r="C257" s="124" t="s">
        <v>107</v>
      </c>
      <c r="D257" s="51">
        <f>'Nitrous oxide MMS'!M50*$C$106</f>
        <v>9.132072554261567E-3</v>
      </c>
      <c r="E257" s="51">
        <f>'Nitrous oxide MMS'!N50*$C$107</f>
        <v>8.3717009175464298E-4</v>
      </c>
      <c r="F257" s="51">
        <f>'Nitrous oxide MMS'!O50*$C$107</f>
        <v>4.6569394159791611E-4</v>
      </c>
      <c r="G257" s="51">
        <f>'Nitrous oxide MMS'!P50*$C$107</f>
        <v>1.0649935482940276E-3</v>
      </c>
      <c r="H257" s="51">
        <f>'Nitrous oxide MMS'!Q50*$C$107</f>
        <v>5.6353928720636703E-4</v>
      </c>
      <c r="I257" s="143" t="s">
        <v>141</v>
      </c>
      <c r="J257" s="290"/>
      <c r="K257" s="291"/>
      <c r="L257" s="291"/>
      <c r="N257"/>
      <c r="O257"/>
      <c r="P257"/>
      <c r="Q257"/>
      <c r="R257"/>
      <c r="S257"/>
      <c r="T257"/>
      <c r="U257"/>
      <c r="V257"/>
      <c r="W257"/>
      <c r="X257"/>
      <c r="Y257"/>
      <c r="Z257"/>
      <c r="AA257"/>
      <c r="AB257"/>
    </row>
    <row r="258" spans="2:28" x14ac:dyDescent="0.25">
      <c r="B258" s="230"/>
      <c r="C258" s="124" t="s">
        <v>108</v>
      </c>
      <c r="D258" s="51">
        <f>'Nitrous oxide MMS'!M51*$C$106</f>
        <v>9.132072554261567E-3</v>
      </c>
      <c r="E258" s="51">
        <f>'Nitrous oxide MMS'!N51*$C$107</f>
        <v>8.3717009175464298E-4</v>
      </c>
      <c r="F258" s="51">
        <f>'Nitrous oxide MMS'!O51*$C$107</f>
        <v>4.6569394159791611E-4</v>
      </c>
      <c r="G258" s="51">
        <f>'Nitrous oxide MMS'!P51*$C$107</f>
        <v>1.0649935482940276E-3</v>
      </c>
      <c r="H258" s="51">
        <f>'Nitrous oxide MMS'!Q51*$C$107</f>
        <v>5.6353928720636703E-4</v>
      </c>
      <c r="I258" s="143" t="s">
        <v>141</v>
      </c>
      <c r="J258" s="290"/>
      <c r="K258" s="291"/>
      <c r="L258" s="291"/>
      <c r="N258"/>
      <c r="O258"/>
      <c r="P258"/>
      <c r="Q258"/>
      <c r="R258"/>
      <c r="S258"/>
      <c r="T258"/>
      <c r="U258"/>
      <c r="V258"/>
      <c r="W258"/>
      <c r="X258"/>
      <c r="Y258"/>
      <c r="Z258"/>
      <c r="AA258"/>
      <c r="AB258"/>
    </row>
    <row r="259" spans="2:28" x14ac:dyDescent="0.25">
      <c r="B259" s="230"/>
      <c r="C259" s="124" t="s">
        <v>109</v>
      </c>
      <c r="D259" s="51">
        <f>'Nitrous oxide MMS'!M52*$C$106</f>
        <v>9.132072554261567E-3</v>
      </c>
      <c r="E259" s="51">
        <f>'Nitrous oxide MMS'!N52*$C$107</f>
        <v>8.3717009175464298E-4</v>
      </c>
      <c r="F259" s="51">
        <f>'Nitrous oxide MMS'!O52*$C$107</f>
        <v>4.6569394159791611E-4</v>
      </c>
      <c r="G259" s="51">
        <f>'Nitrous oxide MMS'!P52*$C$107</f>
        <v>1.0649935482940276E-3</v>
      </c>
      <c r="H259" s="51">
        <f>'Nitrous oxide MMS'!Q52*$C$107</f>
        <v>5.6353928720636703E-4</v>
      </c>
      <c r="I259" s="143" t="s">
        <v>141</v>
      </c>
      <c r="J259" s="290"/>
      <c r="K259" s="291"/>
      <c r="L259" s="291"/>
      <c r="N259"/>
      <c r="O259"/>
      <c r="P259"/>
      <c r="Q259"/>
      <c r="R259"/>
      <c r="S259"/>
      <c r="T259"/>
      <c r="U259"/>
      <c r="V259"/>
      <c r="W259"/>
      <c r="X259"/>
      <c r="Y259"/>
      <c r="Z259"/>
      <c r="AA259"/>
      <c r="AB259"/>
    </row>
    <row r="260" spans="2:28" x14ac:dyDescent="0.25">
      <c r="B260" s="231"/>
      <c r="C260" s="385" t="s">
        <v>110</v>
      </c>
      <c r="D260" s="145">
        <f>'Nitrous oxide MMS'!M53*$C$106</f>
        <v>9.132072554261567E-3</v>
      </c>
      <c r="E260" s="145">
        <f>'Nitrous oxide MMS'!N53*$C$107</f>
        <v>8.3717009175464298E-4</v>
      </c>
      <c r="F260" s="145">
        <f>'Nitrous oxide MMS'!O53*$C$107</f>
        <v>4.6569394159791611E-4</v>
      </c>
      <c r="G260" s="145">
        <f>'Nitrous oxide MMS'!P53*$C$107</f>
        <v>1.0649935482940276E-3</v>
      </c>
      <c r="H260" s="145">
        <f>'Nitrous oxide MMS'!Q53*$C$107</f>
        <v>5.6353928720636703E-4</v>
      </c>
      <c r="I260" s="146" t="s">
        <v>141</v>
      </c>
      <c r="J260" s="290"/>
      <c r="K260" s="291"/>
      <c r="L260" s="291"/>
      <c r="N260"/>
      <c r="O260"/>
      <c r="P260"/>
      <c r="Q260"/>
      <c r="R260"/>
      <c r="S260"/>
      <c r="T260"/>
      <c r="U260"/>
      <c r="V260"/>
      <c r="W260"/>
      <c r="X260"/>
      <c r="Y260"/>
      <c r="Z260"/>
      <c r="AA260"/>
      <c r="AB260"/>
    </row>
    <row r="261" spans="2:28" x14ac:dyDescent="0.25">
      <c r="B261" s="44"/>
      <c r="C261" s="52"/>
      <c r="D261" s="51"/>
      <c r="E261" s="49"/>
      <c r="F261" s="44"/>
      <c r="G261" s="44"/>
      <c r="H261" s="44"/>
      <c r="I261" s="126"/>
      <c r="J261" s="290"/>
      <c r="K261" s="291"/>
      <c r="L261" s="291"/>
      <c r="N261"/>
      <c r="O261"/>
      <c r="P261"/>
      <c r="Q261"/>
      <c r="R261"/>
      <c r="S261"/>
      <c r="T261"/>
      <c r="U261"/>
      <c r="V261"/>
      <c r="W261"/>
      <c r="X261"/>
      <c r="Y261"/>
      <c r="Z261"/>
      <c r="AA261"/>
      <c r="AB261"/>
    </row>
    <row r="262" spans="2:28" x14ac:dyDescent="0.25">
      <c r="B262" s="48" t="s">
        <v>96</v>
      </c>
      <c r="C262" s="298" t="s">
        <v>424</v>
      </c>
      <c r="D262" s="44"/>
      <c r="E262" s="44"/>
      <c r="F262" s="44"/>
      <c r="G262" s="44"/>
      <c r="H262" s="44"/>
      <c r="I262" s="44"/>
      <c r="J262" s="290" t="s">
        <v>163</v>
      </c>
      <c r="K262" s="290" t="s">
        <v>330</v>
      </c>
      <c r="L262" s="290" t="s">
        <v>760</v>
      </c>
      <c r="N262"/>
      <c r="O262"/>
      <c r="P262"/>
      <c r="Q262"/>
      <c r="R262"/>
      <c r="S262"/>
      <c r="T262"/>
      <c r="U262"/>
      <c r="V262"/>
      <c r="W262"/>
      <c r="X262"/>
      <c r="Y262"/>
      <c r="Z262"/>
      <c r="AA262"/>
      <c r="AB262"/>
    </row>
    <row r="263" spans="2:28" x14ac:dyDescent="0.25">
      <c r="B263" s="44"/>
      <c r="C263" s="52" t="s">
        <v>285</v>
      </c>
      <c r="D263" s="51">
        <v>0.2</v>
      </c>
      <c r="E263" s="49"/>
      <c r="F263" s="44"/>
      <c r="G263" s="44"/>
      <c r="H263" s="44"/>
      <c r="I263" s="126" t="s">
        <v>306</v>
      </c>
      <c r="J263" s="290"/>
      <c r="K263" s="291"/>
      <c r="L263" s="291"/>
      <c r="N263"/>
      <c r="O263"/>
      <c r="P263"/>
      <c r="Q263"/>
      <c r="R263"/>
      <c r="S263"/>
      <c r="T263"/>
      <c r="U263"/>
      <c r="V263"/>
      <c r="W263"/>
      <c r="X263"/>
      <c r="Y263"/>
      <c r="Z263"/>
      <c r="AA263"/>
      <c r="AB263"/>
    </row>
    <row r="264" spans="2:28" x14ac:dyDescent="0.25">
      <c r="B264" s="44"/>
      <c r="C264" s="52"/>
      <c r="D264" s="51"/>
      <c r="E264" s="49"/>
      <c r="F264" s="44"/>
      <c r="G264" s="44"/>
      <c r="H264" s="44"/>
      <c r="I264" s="126"/>
      <c r="J264" s="290"/>
      <c r="K264" s="291"/>
      <c r="L264" s="291"/>
      <c r="N264"/>
      <c r="O264"/>
      <c r="P264"/>
      <c r="Q264"/>
      <c r="R264"/>
      <c r="S264"/>
      <c r="T264"/>
      <c r="U264"/>
      <c r="V264"/>
      <c r="W264"/>
      <c r="X264"/>
      <c r="Y264"/>
      <c r="Z264"/>
      <c r="AA264"/>
      <c r="AB264"/>
    </row>
    <row r="265" spans="2:28" x14ac:dyDescent="0.25">
      <c r="B265" s="44"/>
      <c r="C265" s="139" t="s">
        <v>107</v>
      </c>
      <c r="D265" s="140">
        <f>(D247+D252+D257)*$D$263</f>
        <v>2.5616489792673843E-3</v>
      </c>
      <c r="E265" s="140">
        <f t="shared" ref="E265:H265" si="25">(E247+E252+E257)*$D$263</f>
        <v>2.0296290274165828E-4</v>
      </c>
      <c r="F265" s="140">
        <f t="shared" si="25"/>
        <v>1.1454087096815201E-4</v>
      </c>
      <c r="G265" s="140">
        <f t="shared" si="25"/>
        <v>2.5614391805969361E-4</v>
      </c>
      <c r="H265" s="147">
        <f t="shared" si="25"/>
        <v>1.3913735212655782E-4</v>
      </c>
      <c r="I265" s="45" t="s">
        <v>141</v>
      </c>
      <c r="J265" s="290"/>
      <c r="K265" s="291"/>
      <c r="L265" s="291"/>
      <c r="N265"/>
      <c r="O265"/>
      <c r="P265"/>
      <c r="Q265"/>
      <c r="R265"/>
      <c r="S265"/>
      <c r="T265"/>
      <c r="U265"/>
      <c r="V265"/>
      <c r="W265"/>
      <c r="X265"/>
      <c r="Y265"/>
      <c r="Z265"/>
      <c r="AA265"/>
      <c r="AB265"/>
    </row>
    <row r="266" spans="2:28" x14ac:dyDescent="0.25">
      <c r="B266" s="44"/>
      <c r="C266" s="142" t="s">
        <v>108</v>
      </c>
      <c r="D266" s="51">
        <f t="shared" ref="D266:H268" si="26">(D248+D253+D258)*$D$263</f>
        <v>2.5616489792673843E-3</v>
      </c>
      <c r="E266" s="51">
        <f t="shared" si="26"/>
        <v>2.0296290274165828E-4</v>
      </c>
      <c r="F266" s="51">
        <f t="shared" si="26"/>
        <v>1.1454087096815201E-4</v>
      </c>
      <c r="G266" s="51">
        <f t="shared" si="26"/>
        <v>2.5614391805969361E-4</v>
      </c>
      <c r="H266" s="148">
        <f t="shared" si="26"/>
        <v>1.3913735212655782E-4</v>
      </c>
      <c r="I266" s="45" t="s">
        <v>141</v>
      </c>
      <c r="J266" s="290"/>
      <c r="K266" s="291"/>
      <c r="L266" s="291"/>
      <c r="N266"/>
      <c r="O266"/>
      <c r="P266"/>
      <c r="Q266"/>
      <c r="R266"/>
      <c r="S266"/>
      <c r="T266"/>
      <c r="U266"/>
      <c r="V266"/>
      <c r="W266"/>
      <c r="X266"/>
      <c r="Y266"/>
      <c r="Z266"/>
      <c r="AA266"/>
      <c r="AB266"/>
    </row>
    <row r="267" spans="2:28" x14ac:dyDescent="0.25">
      <c r="B267" s="44"/>
      <c r="C267" s="142" t="s">
        <v>109</v>
      </c>
      <c r="D267" s="51">
        <f t="shared" si="26"/>
        <v>2.5616489792673843E-3</v>
      </c>
      <c r="E267" s="51">
        <f t="shared" si="26"/>
        <v>2.0296290274165828E-4</v>
      </c>
      <c r="F267" s="51">
        <f t="shared" si="26"/>
        <v>1.1454087096815201E-4</v>
      </c>
      <c r="G267" s="51">
        <f t="shared" si="26"/>
        <v>2.5614391805969361E-4</v>
      </c>
      <c r="H267" s="148">
        <f t="shared" si="26"/>
        <v>1.3913735212655782E-4</v>
      </c>
      <c r="I267" s="45" t="s">
        <v>141</v>
      </c>
      <c r="J267" s="290"/>
      <c r="K267" s="291"/>
      <c r="L267" s="291"/>
      <c r="N267"/>
      <c r="O267"/>
      <c r="P267"/>
      <c r="Q267"/>
      <c r="R267"/>
      <c r="S267"/>
      <c r="T267"/>
      <c r="U267"/>
      <c r="V267"/>
      <c r="W267"/>
      <c r="X267"/>
      <c r="Y267"/>
      <c r="Z267"/>
      <c r="AA267"/>
      <c r="AB267"/>
    </row>
    <row r="268" spans="2:28" x14ac:dyDescent="0.25">
      <c r="B268" s="44"/>
      <c r="C268" s="144" t="s">
        <v>110</v>
      </c>
      <c r="D268" s="145">
        <f t="shared" si="26"/>
        <v>2.5616489792673843E-3</v>
      </c>
      <c r="E268" s="145">
        <f t="shared" si="26"/>
        <v>2.0296290274165828E-4</v>
      </c>
      <c r="F268" s="145">
        <f t="shared" si="26"/>
        <v>1.1454087096815201E-4</v>
      </c>
      <c r="G268" s="145">
        <f t="shared" si="26"/>
        <v>2.5614391805969361E-4</v>
      </c>
      <c r="H268" s="149">
        <f t="shared" si="26"/>
        <v>1.3913735212655782E-4</v>
      </c>
      <c r="I268" s="45" t="s">
        <v>141</v>
      </c>
      <c r="J268" s="290"/>
      <c r="K268" s="291"/>
      <c r="L268" s="291"/>
      <c r="N268"/>
      <c r="O268"/>
      <c r="P268"/>
      <c r="Q268"/>
      <c r="R268"/>
      <c r="S268"/>
      <c r="T268"/>
      <c r="U268"/>
      <c r="V268"/>
      <c r="W268"/>
      <c r="X268"/>
      <c r="Y268"/>
      <c r="Z268"/>
      <c r="AA268"/>
      <c r="AB268"/>
    </row>
    <row r="269" spans="2:28" x14ac:dyDescent="0.25">
      <c r="B269" s="44"/>
      <c r="C269" s="124"/>
      <c r="D269" s="49"/>
      <c r="E269" s="49"/>
      <c r="F269" s="49"/>
      <c r="G269" s="49"/>
      <c r="H269" s="49"/>
      <c r="I269" s="45"/>
      <c r="J269" s="290"/>
      <c r="K269" s="291"/>
      <c r="L269" s="291"/>
      <c r="M269"/>
      <c r="N269"/>
      <c r="O269"/>
      <c r="P269"/>
      <c r="Q269"/>
      <c r="R269"/>
      <c r="S269"/>
      <c r="T269"/>
      <c r="U269"/>
      <c r="V269"/>
      <c r="W269"/>
      <c r="X269"/>
      <c r="Y269"/>
      <c r="Z269"/>
      <c r="AA269"/>
      <c r="AB269"/>
    </row>
    <row r="270" spans="2:28" x14ac:dyDescent="0.25">
      <c r="B270" s="48" t="s">
        <v>412</v>
      </c>
      <c r="C270" s="387"/>
      <c r="D270" s="325" t="s">
        <v>93</v>
      </c>
      <c r="E270" s="388"/>
      <c r="F270" s="44"/>
      <c r="G270" s="44"/>
      <c r="H270" s="44"/>
      <c r="I270" s="126"/>
      <c r="J270" s="290" t="s">
        <v>776</v>
      </c>
      <c r="K270" s="290" t="s">
        <v>411</v>
      </c>
      <c r="L270" s="290" t="s">
        <v>759</v>
      </c>
      <c r="M270"/>
      <c r="N270"/>
      <c r="O270"/>
      <c r="P270"/>
      <c r="Q270"/>
      <c r="R270"/>
      <c r="S270"/>
      <c r="T270"/>
      <c r="U270"/>
      <c r="V270"/>
      <c r="W270"/>
      <c r="X270"/>
      <c r="Y270"/>
      <c r="Z270"/>
      <c r="AA270"/>
      <c r="AB270"/>
    </row>
    <row r="271" spans="2:28" x14ac:dyDescent="0.25">
      <c r="B271" s="44"/>
      <c r="C271" s="52"/>
      <c r="D271" s="51" t="s">
        <v>414</v>
      </c>
      <c r="E271" s="49" t="s">
        <v>415</v>
      </c>
      <c r="F271" s="44"/>
      <c r="G271" s="44"/>
      <c r="H271" s="44"/>
      <c r="I271" s="126"/>
      <c r="J271" s="290"/>
      <c r="K271" s="290"/>
      <c r="L271" s="290"/>
      <c r="M271"/>
      <c r="N271"/>
      <c r="O271"/>
      <c r="P271"/>
      <c r="Q271"/>
      <c r="R271"/>
      <c r="S271"/>
      <c r="T271"/>
      <c r="U271"/>
      <c r="V271"/>
      <c r="W271"/>
      <c r="X271"/>
      <c r="Y271"/>
      <c r="Z271"/>
      <c r="AA271"/>
      <c r="AB271"/>
    </row>
    <row r="272" spans="2:28" x14ac:dyDescent="0.25">
      <c r="B272" s="44"/>
      <c r="C272" s="52"/>
      <c r="D272" s="51" t="s">
        <v>416</v>
      </c>
      <c r="E272" s="49" t="s">
        <v>417</v>
      </c>
      <c r="F272" s="44"/>
      <c r="G272" s="44"/>
      <c r="H272" s="44"/>
      <c r="I272" s="126"/>
      <c r="J272" s="290"/>
      <c r="K272" s="290"/>
      <c r="L272" s="290"/>
      <c r="M272"/>
      <c r="N272"/>
      <c r="O272"/>
      <c r="P272"/>
      <c r="Q272"/>
      <c r="R272"/>
      <c r="S272"/>
      <c r="T272"/>
      <c r="U272"/>
      <c r="V272"/>
      <c r="W272"/>
      <c r="X272"/>
      <c r="Y272"/>
      <c r="Z272"/>
      <c r="AA272"/>
      <c r="AB272"/>
    </row>
    <row r="273" spans="2:28" x14ac:dyDescent="0.25">
      <c r="B273" s="44"/>
      <c r="C273" s="52"/>
      <c r="D273" s="51" t="s">
        <v>418</v>
      </c>
      <c r="E273" s="514">
        <v>0.2</v>
      </c>
      <c r="F273" s="44"/>
      <c r="G273" s="44"/>
      <c r="H273" s="44"/>
      <c r="I273" s="126"/>
      <c r="J273" s="290"/>
      <c r="K273" s="290"/>
      <c r="L273" s="290"/>
      <c r="M273"/>
      <c r="N273"/>
      <c r="O273"/>
      <c r="P273"/>
      <c r="Q273"/>
      <c r="R273"/>
      <c r="S273"/>
      <c r="T273"/>
      <c r="U273"/>
      <c r="V273"/>
      <c r="W273"/>
      <c r="X273"/>
      <c r="Y273"/>
      <c r="Z273"/>
      <c r="AA273"/>
      <c r="AB273"/>
    </row>
    <row r="274" spans="2:28" x14ac:dyDescent="0.25">
      <c r="B274" s="44"/>
      <c r="C274" s="52"/>
      <c r="D274" s="51"/>
      <c r="E274" s="49"/>
      <c r="F274" s="44"/>
      <c r="G274" s="44"/>
      <c r="H274" s="44"/>
      <c r="I274" s="126"/>
      <c r="J274" s="290"/>
      <c r="K274" s="291"/>
      <c r="L274" s="291"/>
      <c r="M274"/>
      <c r="N274"/>
      <c r="O274"/>
      <c r="P274"/>
      <c r="Q274"/>
      <c r="R274"/>
      <c r="S274"/>
      <c r="T274"/>
      <c r="U274"/>
      <c r="V274"/>
      <c r="W274"/>
      <c r="X274"/>
      <c r="Y274"/>
      <c r="Z274"/>
      <c r="AA274"/>
      <c r="AB274"/>
    </row>
    <row r="275" spans="2:28" x14ac:dyDescent="0.25">
      <c r="B275" s="44"/>
      <c r="C275" s="52"/>
      <c r="D275" s="51"/>
      <c r="E275" s="49"/>
      <c r="F275" s="44"/>
      <c r="G275" s="44"/>
      <c r="H275" s="44"/>
      <c r="I275" s="126"/>
      <c r="J275" s="290"/>
      <c r="K275" s="291"/>
      <c r="L275" s="291"/>
      <c r="M275"/>
      <c r="N275"/>
      <c r="O275"/>
      <c r="P275"/>
      <c r="Q275"/>
      <c r="R275"/>
      <c r="S275"/>
      <c r="T275"/>
      <c r="U275"/>
      <c r="V275"/>
      <c r="W275"/>
      <c r="X275"/>
      <c r="Y275"/>
      <c r="Z275"/>
      <c r="AA275"/>
      <c r="AB275"/>
    </row>
    <row r="276" spans="2:28" x14ac:dyDescent="0.25">
      <c r="B276" s="44"/>
      <c r="C276" s="52"/>
      <c r="D276" s="124" t="s">
        <v>446</v>
      </c>
      <c r="E276" s="124"/>
      <c r="F276" s="124" t="s">
        <v>444</v>
      </c>
      <c r="G276" s="44"/>
      <c r="H276" s="44"/>
      <c r="I276" s="126"/>
      <c r="J276" s="290"/>
      <c r="K276" s="291"/>
      <c r="L276" s="291"/>
      <c r="M276"/>
      <c r="N276"/>
      <c r="O276"/>
      <c r="P276"/>
      <c r="Q276"/>
      <c r="R276"/>
      <c r="S276"/>
      <c r="T276"/>
      <c r="U276"/>
      <c r="V276"/>
      <c r="W276"/>
      <c r="X276"/>
      <c r="Y276"/>
      <c r="Z276"/>
      <c r="AA276"/>
      <c r="AB276"/>
    </row>
    <row r="277" spans="2:28" x14ac:dyDescent="0.25">
      <c r="B277" s="45" t="s">
        <v>472</v>
      </c>
      <c r="C277" s="52" t="s">
        <v>107</v>
      </c>
      <c r="D277" s="51">
        <f>(D23*10^-6)*$E$273</f>
        <v>0</v>
      </c>
      <c r="E277" s="49"/>
      <c r="F277" s="51">
        <f>(F23*10^-6)*$E$273</f>
        <v>0</v>
      </c>
      <c r="G277" s="44"/>
      <c r="H277" s="44"/>
      <c r="I277" s="126" t="s">
        <v>141</v>
      </c>
      <c r="J277" s="290"/>
      <c r="K277" s="291"/>
      <c r="L277" s="291"/>
      <c r="M277"/>
      <c r="N277"/>
      <c r="O277"/>
      <c r="P277"/>
      <c r="Q277"/>
      <c r="R277"/>
      <c r="S277"/>
      <c r="T277"/>
      <c r="U277"/>
      <c r="V277"/>
      <c r="W277"/>
      <c r="X277"/>
      <c r="Y277"/>
      <c r="Z277"/>
      <c r="AA277"/>
      <c r="AB277"/>
    </row>
    <row r="278" spans="2:28" x14ac:dyDescent="0.25">
      <c r="B278" s="45"/>
      <c r="C278" s="52" t="s">
        <v>108</v>
      </c>
      <c r="D278" s="51">
        <f>(D24*10^-6)*$E$273</f>
        <v>0</v>
      </c>
      <c r="E278" s="49"/>
      <c r="F278" s="51">
        <f>(F24*10^-6)*$E$273</f>
        <v>0</v>
      </c>
      <c r="G278" s="44"/>
      <c r="H278" s="44"/>
      <c r="I278" s="126" t="s">
        <v>141</v>
      </c>
      <c r="J278" s="290"/>
      <c r="K278" s="291"/>
      <c r="L278" s="291"/>
      <c r="M278"/>
      <c r="N278"/>
      <c r="O278"/>
      <c r="P278"/>
      <c r="Q278"/>
      <c r="R278"/>
      <c r="S278"/>
      <c r="T278"/>
      <c r="U278"/>
      <c r="V278"/>
      <c r="W278"/>
      <c r="X278"/>
      <c r="Y278"/>
      <c r="Z278"/>
      <c r="AA278"/>
      <c r="AB278"/>
    </row>
    <row r="279" spans="2:28" x14ac:dyDescent="0.25">
      <c r="B279" s="45"/>
      <c r="C279" s="52" t="s">
        <v>109</v>
      </c>
      <c r="D279" s="51">
        <f>(D25*10^-6)*$E$273</f>
        <v>0</v>
      </c>
      <c r="E279" s="49"/>
      <c r="F279" s="51">
        <f>(F25*10^-6)*$E$273</f>
        <v>0</v>
      </c>
      <c r="G279" s="44"/>
      <c r="H279" s="44"/>
      <c r="I279" s="126" t="s">
        <v>141</v>
      </c>
      <c r="J279" s="290"/>
      <c r="K279" s="291"/>
      <c r="L279" s="291"/>
      <c r="M279"/>
      <c r="N279"/>
      <c r="O279"/>
      <c r="P279"/>
      <c r="Q279"/>
      <c r="R279"/>
      <c r="S279"/>
      <c r="T279"/>
      <c r="U279"/>
      <c r="V279"/>
      <c r="W279"/>
      <c r="X279"/>
      <c r="Y279"/>
      <c r="Z279"/>
      <c r="AA279"/>
      <c r="AB279"/>
    </row>
    <row r="280" spans="2:28" x14ac:dyDescent="0.25">
      <c r="B280" s="45"/>
      <c r="C280" s="52" t="s">
        <v>110</v>
      </c>
      <c r="D280" s="51">
        <f>(D26*10^-6)*$E$273</f>
        <v>0</v>
      </c>
      <c r="E280" s="49"/>
      <c r="F280" s="51">
        <f>(F26*10^-6)*$E$273</f>
        <v>0</v>
      </c>
      <c r="G280" s="44"/>
      <c r="H280" s="44"/>
      <c r="I280" s="126" t="s">
        <v>315</v>
      </c>
      <c r="J280" s="290"/>
      <c r="K280" s="291"/>
      <c r="L280" s="291"/>
      <c r="M280"/>
      <c r="N280"/>
      <c r="O280"/>
      <c r="P280"/>
      <c r="Q280"/>
      <c r="R280"/>
      <c r="S280"/>
      <c r="T280"/>
      <c r="U280"/>
      <c r="V280"/>
      <c r="W280"/>
      <c r="X280"/>
      <c r="Y280"/>
      <c r="Z280"/>
      <c r="AA280"/>
      <c r="AB280"/>
    </row>
    <row r="281" spans="2:28" x14ac:dyDescent="0.25">
      <c r="B281" s="45"/>
      <c r="C281" s="52"/>
      <c r="D281" s="51"/>
      <c r="E281" s="49"/>
      <c r="F281" s="44"/>
      <c r="G281" s="44"/>
      <c r="H281" s="44"/>
      <c r="I281" s="126"/>
      <c r="J281" s="290"/>
      <c r="K281" s="291"/>
      <c r="L281" s="291"/>
      <c r="N281"/>
      <c r="O281"/>
      <c r="P281"/>
      <c r="Q281"/>
      <c r="R281"/>
      <c r="S281"/>
      <c r="T281"/>
      <c r="U281"/>
      <c r="V281"/>
      <c r="W281"/>
      <c r="X281"/>
      <c r="Y281"/>
      <c r="Z281"/>
      <c r="AA281"/>
      <c r="AB281"/>
    </row>
    <row r="282" spans="2:28" x14ac:dyDescent="0.25">
      <c r="B282" s="45"/>
      <c r="C282" s="52"/>
      <c r="D282" s="124" t="s">
        <v>446</v>
      </c>
      <c r="E282" s="124"/>
      <c r="F282" s="124" t="s">
        <v>444</v>
      </c>
      <c r="G282" s="44"/>
      <c r="H282" s="44"/>
      <c r="I282" s="126"/>
      <c r="J282" s="290"/>
      <c r="K282" s="291"/>
      <c r="L282" s="291"/>
      <c r="N282"/>
      <c r="O282"/>
      <c r="P282"/>
      <c r="Q282"/>
      <c r="R282"/>
      <c r="S282"/>
      <c r="T282"/>
      <c r="U282"/>
      <c r="V282"/>
      <c r="W282"/>
      <c r="X282"/>
      <c r="Y282"/>
      <c r="Z282"/>
      <c r="AA282"/>
      <c r="AB282"/>
    </row>
    <row r="283" spans="2:28" x14ac:dyDescent="0.25">
      <c r="B283" s="45" t="s">
        <v>473</v>
      </c>
      <c r="C283" s="52" t="s">
        <v>107</v>
      </c>
      <c r="D283" s="51">
        <f>(D29*10^-6)*$E$273</f>
        <v>0</v>
      </c>
      <c r="E283" s="49"/>
      <c r="F283" s="51">
        <f>(F29*10^-6)*$E$273</f>
        <v>0</v>
      </c>
      <c r="G283" s="44"/>
      <c r="H283" s="44"/>
      <c r="I283" s="126" t="s">
        <v>141</v>
      </c>
      <c r="J283" s="290"/>
      <c r="K283" s="291"/>
      <c r="L283" s="291"/>
      <c r="N283"/>
      <c r="O283"/>
      <c r="P283"/>
      <c r="Q283"/>
      <c r="R283"/>
      <c r="S283"/>
      <c r="T283"/>
      <c r="U283"/>
      <c r="V283"/>
      <c r="W283"/>
      <c r="X283"/>
      <c r="Y283"/>
      <c r="Z283"/>
      <c r="AA283"/>
      <c r="AB283"/>
    </row>
    <row r="284" spans="2:28" x14ac:dyDescent="0.25">
      <c r="B284" s="45"/>
      <c r="C284" s="52" t="s">
        <v>108</v>
      </c>
      <c r="D284" s="51">
        <f>(D30*10^-6)*$E$273</f>
        <v>0</v>
      </c>
      <c r="E284" s="49"/>
      <c r="F284" s="51">
        <f>(F30*10^-6)*$E$273</f>
        <v>0</v>
      </c>
      <c r="G284" s="44"/>
      <c r="H284" s="44"/>
      <c r="I284" s="126" t="s">
        <v>141</v>
      </c>
      <c r="J284" s="290"/>
      <c r="K284" s="291"/>
      <c r="L284" s="291"/>
    </row>
    <row r="285" spans="2:28" x14ac:dyDescent="0.25">
      <c r="B285" s="45"/>
      <c r="C285" s="52" t="s">
        <v>109</v>
      </c>
      <c r="D285" s="51">
        <f>(D31*10^-6)*$E$273</f>
        <v>0</v>
      </c>
      <c r="E285" s="49"/>
      <c r="F285" s="51">
        <f>(F31*10^-6)*$E$273</f>
        <v>0</v>
      </c>
      <c r="G285" s="44"/>
      <c r="H285" s="44"/>
      <c r="I285" s="126" t="s">
        <v>141</v>
      </c>
      <c r="J285" s="290"/>
      <c r="K285" s="291"/>
      <c r="L285" s="291"/>
    </row>
    <row r="286" spans="2:28" x14ac:dyDescent="0.25">
      <c r="B286" s="45"/>
      <c r="C286" s="124" t="s">
        <v>110</v>
      </c>
      <c r="D286" s="51">
        <f>(D32*10^-6)*$E$273</f>
        <v>0</v>
      </c>
      <c r="E286" s="49"/>
      <c r="F286" s="51">
        <f>(F32*10^-6)*$E$273</f>
        <v>0</v>
      </c>
      <c r="G286" s="44"/>
      <c r="H286" s="44"/>
      <c r="I286" s="126" t="s">
        <v>315</v>
      </c>
      <c r="J286" s="290"/>
      <c r="K286" s="291"/>
      <c r="L286" s="291"/>
    </row>
    <row r="287" spans="2:28" x14ac:dyDescent="0.25">
      <c r="B287" s="44"/>
      <c r="C287" s="52"/>
      <c r="D287" s="51"/>
      <c r="E287" s="49"/>
      <c r="F287" s="44"/>
      <c r="G287" s="44"/>
      <c r="H287" s="44"/>
      <c r="I287" s="126"/>
      <c r="J287" s="290"/>
      <c r="K287" s="291"/>
      <c r="L287" s="291"/>
    </row>
    <row r="288" spans="2:28" x14ac:dyDescent="0.25">
      <c r="B288" s="48" t="s">
        <v>104</v>
      </c>
      <c r="C288" s="387"/>
      <c r="D288" s="325" t="s">
        <v>91</v>
      </c>
      <c r="E288" s="388"/>
      <c r="F288" s="48"/>
      <c r="G288" s="44"/>
      <c r="H288" s="44"/>
      <c r="I288" s="126"/>
      <c r="J288" s="290" t="s">
        <v>164</v>
      </c>
      <c r="K288" s="290" t="s">
        <v>420</v>
      </c>
      <c r="L288" s="290" t="s">
        <v>759</v>
      </c>
    </row>
    <row r="289" spans="2:12" x14ac:dyDescent="0.25">
      <c r="B289" s="44"/>
      <c r="C289" s="52"/>
      <c r="D289" s="51" t="s">
        <v>414</v>
      </c>
      <c r="E289" s="49" t="s">
        <v>421</v>
      </c>
      <c r="F289" s="44"/>
      <c r="G289" s="44"/>
      <c r="H289" s="44"/>
      <c r="I289" s="126" t="s">
        <v>87</v>
      </c>
      <c r="J289" s="290"/>
      <c r="K289" s="291"/>
      <c r="L289" s="291"/>
    </row>
    <row r="290" spans="2:12" x14ac:dyDescent="0.25">
      <c r="B290" s="44"/>
      <c r="C290" s="52"/>
      <c r="D290" s="51" t="s">
        <v>324</v>
      </c>
      <c r="E290" s="49">
        <v>4.0000000000000001E-3</v>
      </c>
      <c r="F290" s="44"/>
      <c r="G290" s="44"/>
      <c r="H290" s="44"/>
      <c r="I290" s="126" t="s">
        <v>92</v>
      </c>
      <c r="J290" s="290"/>
      <c r="K290" s="291"/>
      <c r="L290" s="291"/>
    </row>
    <row r="291" spans="2:12" x14ac:dyDescent="0.25">
      <c r="B291" s="44"/>
      <c r="C291" s="52"/>
      <c r="D291" s="51" t="s">
        <v>311</v>
      </c>
      <c r="E291" s="49">
        <f>GWP!C15</f>
        <v>1.5714285714285714</v>
      </c>
      <c r="F291" s="44"/>
      <c r="G291" s="44"/>
      <c r="H291" s="44"/>
      <c r="I291" s="126"/>
      <c r="J291" s="290"/>
      <c r="K291" s="291"/>
      <c r="L291" s="291"/>
    </row>
    <row r="292" spans="2:12" x14ac:dyDescent="0.25">
      <c r="B292" s="44"/>
      <c r="C292" s="52"/>
      <c r="D292" s="51"/>
      <c r="E292" s="49"/>
      <c r="F292" s="44"/>
      <c r="G292" s="44"/>
      <c r="H292" s="44"/>
      <c r="I292" s="126"/>
      <c r="J292" s="290"/>
      <c r="K292" s="291"/>
      <c r="L292" s="291"/>
    </row>
    <row r="293" spans="2:12" x14ac:dyDescent="0.25">
      <c r="B293" s="44" t="s">
        <v>26</v>
      </c>
      <c r="C293" s="52"/>
      <c r="D293" s="390" t="s">
        <v>107</v>
      </c>
      <c r="E293" s="383">
        <f>(SUM(D233,F233,D239,F239,D265:H265,D277,F277,D283,F283))*$E$290*$E$291</f>
        <v>2.0582156717027377E-5</v>
      </c>
      <c r="F293" s="141"/>
      <c r="G293" s="44"/>
      <c r="H293" s="44"/>
      <c r="I293" s="126" t="s">
        <v>161</v>
      </c>
      <c r="J293" s="290"/>
      <c r="K293" s="291"/>
      <c r="L293" s="291"/>
    </row>
    <row r="294" spans="2:12" x14ac:dyDescent="0.25">
      <c r="B294" s="44"/>
      <c r="C294" s="52"/>
      <c r="D294" s="391" t="s">
        <v>108</v>
      </c>
      <c r="E294" s="49">
        <f t="shared" ref="E294:E296" si="27">(SUM(D234,F234,D240,F240,D266:H266,D278,F278,D284,F284))*$E$290*$E$291</f>
        <v>2.0582156717027377E-5</v>
      </c>
      <c r="F294" s="143"/>
      <c r="G294" s="44"/>
      <c r="H294" s="44"/>
      <c r="I294" s="126" t="s">
        <v>161</v>
      </c>
      <c r="J294" s="290"/>
      <c r="K294" s="291"/>
      <c r="L294" s="291"/>
    </row>
    <row r="295" spans="2:12" x14ac:dyDescent="0.25">
      <c r="B295" s="44"/>
      <c r="C295" s="52"/>
      <c r="D295" s="391" t="s">
        <v>109</v>
      </c>
      <c r="E295" s="49">
        <f t="shared" si="27"/>
        <v>4.572501385988452E-5</v>
      </c>
      <c r="F295" s="143"/>
      <c r="G295" s="44"/>
      <c r="H295" s="44"/>
      <c r="I295" s="126" t="s">
        <v>161</v>
      </c>
      <c r="J295" s="290"/>
      <c r="K295" s="291"/>
      <c r="L295" s="291"/>
    </row>
    <row r="296" spans="2:12" x14ac:dyDescent="0.25">
      <c r="B296" s="44"/>
      <c r="C296" s="52"/>
      <c r="D296" s="391" t="s">
        <v>110</v>
      </c>
      <c r="E296" s="49">
        <f t="shared" si="27"/>
        <v>2.0582156717027377E-5</v>
      </c>
      <c r="F296" s="143"/>
      <c r="G296" s="44"/>
      <c r="H296" s="44"/>
      <c r="I296" s="126" t="s">
        <v>161</v>
      </c>
      <c r="J296" s="290"/>
      <c r="K296" s="291"/>
      <c r="L296" s="291"/>
    </row>
    <row r="297" spans="2:12" x14ac:dyDescent="0.25">
      <c r="B297" s="44"/>
      <c r="C297" s="52"/>
      <c r="D297" s="392" t="s">
        <v>6</v>
      </c>
      <c r="E297" s="389">
        <f>SUM(E293:E296)</f>
        <v>1.0747148401096666E-4</v>
      </c>
      <c r="F297" s="146"/>
      <c r="G297" s="44"/>
      <c r="H297" s="44"/>
      <c r="I297" s="126" t="s">
        <v>154</v>
      </c>
      <c r="J297" s="290"/>
      <c r="K297" s="291"/>
      <c r="L297" s="291"/>
    </row>
    <row r="298" spans="2:12" x14ac:dyDescent="0.25">
      <c r="B298" s="44"/>
      <c r="C298" s="52"/>
      <c r="D298" s="51"/>
      <c r="E298" s="49"/>
      <c r="F298" s="44"/>
      <c r="G298" s="44"/>
      <c r="H298" s="44"/>
      <c r="I298" s="126"/>
      <c r="J298" s="290"/>
      <c r="K298" s="291"/>
      <c r="L298" s="291"/>
    </row>
    <row r="299" spans="2:12" x14ac:dyDescent="0.25">
      <c r="B299" s="50" t="s">
        <v>811</v>
      </c>
      <c r="C299" s="44"/>
      <c r="D299" s="327">
        <f>SUM(E293:E296)</f>
        <v>1.0747148401096666E-4</v>
      </c>
      <c r="E299" s="45"/>
      <c r="F299" s="45"/>
      <c r="G299" s="45"/>
      <c r="H299" s="45"/>
      <c r="I299" s="44" t="s">
        <v>301</v>
      </c>
      <c r="J299" s="290"/>
      <c r="K299" s="290"/>
      <c r="L299" s="290"/>
    </row>
    <row r="300" spans="2:12" x14ac:dyDescent="0.25">
      <c r="B300" s="50" t="s">
        <v>811</v>
      </c>
      <c r="C300" s="44"/>
      <c r="D300" s="125">
        <f>D299*GWP!C6</f>
        <v>3.202650223526806E-2</v>
      </c>
      <c r="E300" s="45"/>
      <c r="F300" s="45"/>
      <c r="G300" s="45"/>
      <c r="H300" s="45"/>
      <c r="I300" s="44" t="s">
        <v>320</v>
      </c>
      <c r="J300" s="290"/>
      <c r="K300" s="290"/>
      <c r="L300" s="290"/>
    </row>
    <row r="301" spans="2:12" x14ac:dyDescent="0.25">
      <c r="B301" s="119" t="s">
        <v>811</v>
      </c>
      <c r="C301" s="119"/>
      <c r="D301" s="317">
        <f>D300*10^3</f>
        <v>32.026502235268062</v>
      </c>
      <c r="E301" s="119"/>
      <c r="F301" s="119"/>
      <c r="G301" s="119"/>
      <c r="H301" s="119"/>
      <c r="I301" s="119" t="s">
        <v>321</v>
      </c>
      <c r="J301" s="294"/>
      <c r="K301" s="294"/>
      <c r="L301" s="294"/>
    </row>
    <row r="302" spans="2:12" x14ac:dyDescent="0.25">
      <c r="B302" s="50"/>
      <c r="C302" s="50"/>
      <c r="D302" s="396"/>
      <c r="E302" s="50"/>
      <c r="F302" s="50"/>
      <c r="G302" s="50"/>
      <c r="H302" s="50"/>
      <c r="I302" s="50"/>
      <c r="J302" s="292"/>
      <c r="K302" s="292"/>
      <c r="L302" s="292"/>
    </row>
    <row r="303" spans="2:12" ht="18.75" x14ac:dyDescent="0.3">
      <c r="B303" s="393" t="s">
        <v>427</v>
      </c>
      <c r="C303" s="44"/>
      <c r="D303" s="44"/>
      <c r="E303" s="44"/>
      <c r="F303" s="44"/>
      <c r="G303" s="44"/>
      <c r="H303" s="44"/>
      <c r="I303" s="44"/>
      <c r="J303" s="290"/>
      <c r="K303" s="291"/>
      <c r="L303" s="291"/>
    </row>
    <row r="304" spans="2:12" x14ac:dyDescent="0.25">
      <c r="B304" s="44"/>
      <c r="C304" s="44"/>
      <c r="D304" s="44"/>
      <c r="E304" s="44"/>
      <c r="F304" s="44"/>
      <c r="G304" s="44"/>
      <c r="H304" s="44"/>
      <c r="I304" s="44"/>
      <c r="J304" s="290"/>
      <c r="K304" s="291"/>
      <c r="L304" s="291"/>
    </row>
    <row r="305" spans="2:12" x14ac:dyDescent="0.25">
      <c r="B305" s="48" t="s">
        <v>90</v>
      </c>
      <c r="C305" s="44"/>
      <c r="D305" s="44"/>
      <c r="E305" s="44"/>
      <c r="F305" s="44"/>
      <c r="G305" s="44"/>
      <c r="H305" s="44"/>
      <c r="I305" s="44"/>
      <c r="J305" s="290"/>
      <c r="K305" s="291"/>
      <c r="L305" s="291"/>
    </row>
    <row r="306" spans="2:12" x14ac:dyDescent="0.25">
      <c r="B306" s="48" t="s">
        <v>97</v>
      </c>
      <c r="C306" s="48" t="s">
        <v>175</v>
      </c>
      <c r="D306" s="44"/>
      <c r="E306" s="44"/>
      <c r="F306" s="44"/>
      <c r="G306" s="44"/>
      <c r="H306" s="44"/>
      <c r="I306" s="44"/>
      <c r="J306" s="290"/>
      <c r="K306" s="291"/>
      <c r="L306" s="291"/>
    </row>
    <row r="307" spans="2:12" x14ac:dyDescent="0.25">
      <c r="B307" s="44"/>
      <c r="C307" s="44" t="s">
        <v>98</v>
      </c>
      <c r="D307" s="44"/>
      <c r="E307" s="44"/>
      <c r="F307" s="44"/>
      <c r="G307" s="44"/>
      <c r="H307" s="44"/>
      <c r="I307" s="44"/>
      <c r="J307" s="290" t="s">
        <v>165</v>
      </c>
      <c r="K307" s="290" t="s">
        <v>422</v>
      </c>
      <c r="L307" s="290" t="s">
        <v>759</v>
      </c>
    </row>
    <row r="308" spans="2:12" x14ac:dyDescent="0.25">
      <c r="B308" s="44"/>
      <c r="C308" s="44" t="s">
        <v>169</v>
      </c>
      <c r="D308" s="44" t="s">
        <v>170</v>
      </c>
      <c r="E308" s="44"/>
      <c r="F308" s="44"/>
      <c r="G308" s="44"/>
      <c r="H308" s="44"/>
      <c r="I308" s="44"/>
      <c r="J308" s="290"/>
      <c r="K308" s="291"/>
      <c r="L308" s="291"/>
    </row>
    <row r="309" spans="2:12" x14ac:dyDescent="0.25">
      <c r="B309" s="44"/>
      <c r="C309" s="44" t="s">
        <v>171</v>
      </c>
      <c r="D309" s="52">
        <v>0.3</v>
      </c>
      <c r="E309" s="44"/>
      <c r="F309" s="44"/>
      <c r="G309" s="44"/>
      <c r="H309" s="44"/>
      <c r="I309" s="44"/>
      <c r="J309" s="290"/>
      <c r="K309" s="290"/>
      <c r="L309" s="290"/>
    </row>
    <row r="310" spans="2:12" x14ac:dyDescent="0.25">
      <c r="B310" s="44"/>
      <c r="C310" s="44" t="s">
        <v>426</v>
      </c>
      <c r="D310" s="44">
        <v>1</v>
      </c>
      <c r="E310" s="44"/>
      <c r="F310" s="44"/>
      <c r="G310" s="44"/>
      <c r="H310" s="44"/>
      <c r="I310" s="44" t="s">
        <v>87</v>
      </c>
      <c r="J310" s="290"/>
      <c r="K310" s="291"/>
      <c r="L310" s="291"/>
    </row>
    <row r="311" spans="2:12" x14ac:dyDescent="0.25">
      <c r="B311" s="44"/>
      <c r="C311" s="44"/>
      <c r="D311" s="126"/>
      <c r="E311" s="44"/>
      <c r="F311" s="44"/>
      <c r="G311" s="44"/>
      <c r="H311" s="44"/>
      <c r="I311" s="44"/>
      <c r="J311" s="290"/>
      <c r="K311" s="291"/>
      <c r="L311" s="291"/>
    </row>
    <row r="312" spans="2:12" x14ac:dyDescent="0.25">
      <c r="B312" s="50" t="s">
        <v>460</v>
      </c>
      <c r="C312" s="52"/>
      <c r="D312" s="126"/>
      <c r="E312" s="44"/>
      <c r="F312" s="44"/>
      <c r="G312" s="44"/>
      <c r="H312" s="44"/>
      <c r="I312" s="44"/>
      <c r="J312" s="290"/>
      <c r="K312" s="291"/>
      <c r="L312" s="291"/>
    </row>
    <row r="313" spans="2:12" x14ac:dyDescent="0.25">
      <c r="B313" s="45"/>
      <c r="C313" s="52"/>
      <c r="D313" s="126"/>
      <c r="E313" s="44"/>
      <c r="F313" s="44"/>
      <c r="G313" s="44"/>
      <c r="H313" s="44"/>
      <c r="I313" s="44"/>
      <c r="J313" s="290"/>
      <c r="K313" s="291"/>
      <c r="L313" s="291"/>
    </row>
    <row r="314" spans="2:12" x14ac:dyDescent="0.25">
      <c r="B314" s="50" t="s">
        <v>474</v>
      </c>
      <c r="C314" s="52"/>
      <c r="D314" s="124" t="s">
        <v>446</v>
      </c>
      <c r="E314" s="124"/>
      <c r="F314" s="124" t="s">
        <v>444</v>
      </c>
      <c r="G314" s="44"/>
      <c r="H314" s="44"/>
      <c r="I314" s="44"/>
      <c r="J314" s="290"/>
      <c r="K314" s="291"/>
      <c r="L314" s="291"/>
    </row>
    <row r="315" spans="2:12" x14ac:dyDescent="0.25">
      <c r="B315" s="45"/>
      <c r="C315" s="52" t="s">
        <v>107</v>
      </c>
      <c r="D315" s="52">
        <f>D43*$D$310*$D$309</f>
        <v>0</v>
      </c>
      <c r="E315" s="44"/>
      <c r="F315" s="52">
        <f>F43*$D$310*$D$309</f>
        <v>0</v>
      </c>
      <c r="G315" s="44"/>
      <c r="H315" s="44"/>
      <c r="I315" s="44" t="s">
        <v>141</v>
      </c>
      <c r="J315" s="290"/>
      <c r="K315" s="291"/>
      <c r="L315" s="291"/>
    </row>
    <row r="316" spans="2:12" x14ac:dyDescent="0.25">
      <c r="B316" s="45"/>
      <c r="C316" s="52" t="s">
        <v>108</v>
      </c>
      <c r="D316" s="52">
        <f>D44*$D$310*$D$309</f>
        <v>0</v>
      </c>
      <c r="E316" s="44"/>
      <c r="F316" s="52">
        <f>F44*$D$310*$D$309</f>
        <v>0</v>
      </c>
      <c r="G316" s="44"/>
      <c r="H316" s="44"/>
      <c r="I316" s="44" t="s">
        <v>141</v>
      </c>
      <c r="J316" s="290"/>
      <c r="K316" s="291"/>
      <c r="L316" s="291"/>
    </row>
    <row r="317" spans="2:12" x14ac:dyDescent="0.25">
      <c r="B317" s="45"/>
      <c r="C317" s="52" t="s">
        <v>109</v>
      </c>
      <c r="D317" s="52">
        <f>D45*$D$310*$D$309</f>
        <v>0</v>
      </c>
      <c r="E317" s="44"/>
      <c r="F317" s="52">
        <f>F45*$D$310*$D$309</f>
        <v>0</v>
      </c>
      <c r="G317" s="44"/>
      <c r="H317" s="44"/>
      <c r="I317" s="44" t="s">
        <v>141</v>
      </c>
      <c r="J317" s="290"/>
      <c r="K317" s="291"/>
      <c r="L317" s="291"/>
    </row>
    <row r="318" spans="2:12" x14ac:dyDescent="0.25">
      <c r="B318" s="45"/>
      <c r="C318" s="52" t="s">
        <v>110</v>
      </c>
      <c r="D318" s="52">
        <f>D46*$D$310*$D$309</f>
        <v>0</v>
      </c>
      <c r="E318" s="44"/>
      <c r="F318" s="52">
        <f>F46*$D$310*$D$309</f>
        <v>0</v>
      </c>
      <c r="G318" s="44"/>
      <c r="H318" s="44"/>
      <c r="I318" s="44" t="s">
        <v>141</v>
      </c>
      <c r="J318" s="290"/>
      <c r="K318" s="291"/>
      <c r="L318" s="291"/>
    </row>
    <row r="319" spans="2:12" x14ac:dyDescent="0.25">
      <c r="B319" s="45"/>
      <c r="C319" s="52"/>
      <c r="D319" s="126"/>
      <c r="E319" s="44"/>
      <c r="F319" s="44"/>
      <c r="G319" s="44"/>
      <c r="H319" s="44"/>
      <c r="I319" s="44"/>
      <c r="J319" s="290"/>
      <c r="K319" s="291"/>
      <c r="L319" s="291"/>
    </row>
    <row r="320" spans="2:12" x14ac:dyDescent="0.25">
      <c r="B320" s="50" t="s">
        <v>475</v>
      </c>
      <c r="C320" s="52"/>
      <c r="D320" s="124" t="s">
        <v>446</v>
      </c>
      <c r="E320" s="124"/>
      <c r="F320" s="124" t="s">
        <v>444</v>
      </c>
      <c r="G320" s="44"/>
      <c r="H320" s="44"/>
      <c r="I320" s="44"/>
      <c r="J320" s="290"/>
      <c r="K320" s="291"/>
      <c r="L320" s="291"/>
    </row>
    <row r="321" spans="2:12" x14ac:dyDescent="0.25">
      <c r="B321" s="45"/>
      <c r="C321" s="52" t="s">
        <v>107</v>
      </c>
      <c r="D321" s="52">
        <f>D49*$D$310*$D$309</f>
        <v>0</v>
      </c>
      <c r="E321" s="44"/>
      <c r="F321" s="52">
        <f>F49*$D$310*$D$309</f>
        <v>0</v>
      </c>
      <c r="G321" s="44"/>
      <c r="H321" s="44"/>
      <c r="I321" s="44" t="s">
        <v>141</v>
      </c>
      <c r="J321" s="290"/>
      <c r="K321" s="291"/>
      <c r="L321" s="291"/>
    </row>
    <row r="322" spans="2:12" x14ac:dyDescent="0.25">
      <c r="B322" s="45"/>
      <c r="C322" s="52" t="s">
        <v>108</v>
      </c>
      <c r="D322" s="52">
        <f>D50*$D$310*$D$309</f>
        <v>0</v>
      </c>
      <c r="E322" s="44"/>
      <c r="F322" s="52">
        <f>F50*$D$310*$D$309</f>
        <v>0</v>
      </c>
      <c r="G322" s="44"/>
      <c r="H322" s="44"/>
      <c r="I322" s="44" t="s">
        <v>141</v>
      </c>
      <c r="J322" s="290"/>
      <c r="K322" s="291"/>
      <c r="L322" s="291"/>
    </row>
    <row r="323" spans="2:12" x14ac:dyDescent="0.25">
      <c r="B323" s="45"/>
      <c r="C323" s="52" t="s">
        <v>109</v>
      </c>
      <c r="D323" s="52">
        <f>D51*$D$310*$D$309</f>
        <v>0</v>
      </c>
      <c r="E323" s="44"/>
      <c r="F323" s="52">
        <f>F51*$D$310*$D$309</f>
        <v>1.2E-2</v>
      </c>
      <c r="G323" s="44"/>
      <c r="H323" s="44"/>
      <c r="I323" s="44" t="s">
        <v>141</v>
      </c>
      <c r="J323" s="290"/>
      <c r="K323" s="291"/>
      <c r="L323" s="291"/>
    </row>
    <row r="324" spans="2:12" x14ac:dyDescent="0.25">
      <c r="B324" s="45"/>
      <c r="C324" s="52" t="s">
        <v>110</v>
      </c>
      <c r="D324" s="52">
        <f>D52*$D$310*$D$309</f>
        <v>0</v>
      </c>
      <c r="E324" s="44"/>
      <c r="F324" s="52">
        <f>F52*$D$310*$D$309</f>
        <v>0</v>
      </c>
      <c r="G324" s="44"/>
      <c r="H324" s="44"/>
      <c r="I324" s="44" t="s">
        <v>141</v>
      </c>
      <c r="J324" s="290"/>
      <c r="K324" s="291"/>
      <c r="L324" s="291"/>
    </row>
    <row r="325" spans="2:12" x14ac:dyDescent="0.25">
      <c r="B325" s="44"/>
      <c r="C325" s="44"/>
      <c r="D325" s="126"/>
      <c r="E325" s="44"/>
      <c r="F325" s="44"/>
      <c r="G325" s="44"/>
      <c r="H325" s="44"/>
      <c r="I325" s="44"/>
      <c r="J325" s="290"/>
      <c r="K325" s="291"/>
      <c r="L325" s="291"/>
    </row>
    <row r="326" spans="2:12" x14ac:dyDescent="0.25">
      <c r="B326" s="44"/>
      <c r="C326" s="44"/>
      <c r="D326" s="44"/>
      <c r="E326" s="44"/>
      <c r="F326" s="44"/>
      <c r="G326" s="44"/>
      <c r="H326" s="44"/>
      <c r="I326" s="44"/>
      <c r="J326" s="290"/>
      <c r="K326" s="291"/>
      <c r="L326" s="291"/>
    </row>
    <row r="327" spans="2:12" x14ac:dyDescent="0.25">
      <c r="B327" s="48" t="s">
        <v>99</v>
      </c>
      <c r="C327" s="48" t="s">
        <v>101</v>
      </c>
      <c r="D327" s="44"/>
      <c r="E327" s="44"/>
      <c r="F327" s="44"/>
      <c r="G327" s="44"/>
      <c r="H327" s="44"/>
      <c r="I327" s="44"/>
      <c r="J327" s="290" t="s">
        <v>166</v>
      </c>
      <c r="K327" s="290" t="s">
        <v>423</v>
      </c>
      <c r="L327" s="290" t="s">
        <v>759</v>
      </c>
    </row>
    <row r="328" spans="2:12" x14ac:dyDescent="0.25">
      <c r="B328" s="44"/>
      <c r="C328" s="44" t="s">
        <v>176</v>
      </c>
      <c r="D328" s="44"/>
      <c r="E328" s="44"/>
      <c r="F328" s="44"/>
      <c r="G328" s="44"/>
      <c r="H328" s="44"/>
      <c r="I328" s="44"/>
      <c r="J328" s="290"/>
      <c r="K328" s="291"/>
      <c r="L328" s="291"/>
    </row>
    <row r="329" spans="2:12" x14ac:dyDescent="0.25">
      <c r="B329" s="44"/>
      <c r="C329" s="44" t="s">
        <v>177</v>
      </c>
      <c r="D329" s="44"/>
      <c r="E329" s="44"/>
      <c r="F329" s="44"/>
      <c r="G329" s="44"/>
      <c r="H329" s="44"/>
      <c r="I329" s="44"/>
      <c r="J329" s="290"/>
      <c r="K329" s="291"/>
      <c r="L329" s="291"/>
    </row>
    <row r="330" spans="2:12" x14ac:dyDescent="0.25">
      <c r="B330" s="44"/>
      <c r="C330" s="44" t="s">
        <v>178</v>
      </c>
      <c r="D330" s="44"/>
      <c r="E330" s="44"/>
      <c r="F330" s="44"/>
      <c r="G330" s="44"/>
      <c r="H330" s="44"/>
      <c r="I330" s="44"/>
      <c r="J330" s="290"/>
      <c r="K330" s="290"/>
      <c r="L330" s="290"/>
    </row>
    <row r="331" spans="2:12" x14ac:dyDescent="0.25">
      <c r="B331" s="44"/>
      <c r="C331" s="44"/>
      <c r="D331" s="44"/>
      <c r="E331" s="44"/>
      <c r="F331" s="44"/>
      <c r="G331" s="44"/>
      <c r="H331" s="44"/>
      <c r="I331" s="44"/>
      <c r="J331" s="290"/>
      <c r="K331" s="291"/>
      <c r="L331" s="291"/>
    </row>
    <row r="332" spans="2:12" x14ac:dyDescent="0.25">
      <c r="B332" s="44"/>
      <c r="C332" s="52" t="s">
        <v>107</v>
      </c>
      <c r="D332" s="46">
        <f>SUM(D247,D252,D257)*$D$310*$D$309</f>
        <v>3.8424734689010763E-3</v>
      </c>
      <c r="E332" s="46">
        <f t="shared" ref="D332:H335" si="28">SUM(E247,E252,E257)*$D$310*$D$309</f>
        <v>3.0444435411248739E-4</v>
      </c>
      <c r="F332" s="46">
        <f t="shared" si="28"/>
        <v>1.71811306452228E-4</v>
      </c>
      <c r="G332" s="46">
        <f t="shared" si="28"/>
        <v>3.8421587708954035E-4</v>
      </c>
      <c r="H332" s="46">
        <f t="shared" si="28"/>
        <v>2.0870602818983674E-4</v>
      </c>
      <c r="I332" s="44" t="s">
        <v>141</v>
      </c>
      <c r="J332" s="290"/>
      <c r="K332" s="291"/>
      <c r="L332" s="291"/>
    </row>
    <row r="333" spans="2:12" x14ac:dyDescent="0.25">
      <c r="B333" s="44"/>
      <c r="C333" s="52" t="s">
        <v>108</v>
      </c>
      <c r="D333" s="46">
        <f t="shared" si="28"/>
        <v>3.8424734689010763E-3</v>
      </c>
      <c r="E333" s="46">
        <f t="shared" si="28"/>
        <v>3.0444435411248739E-4</v>
      </c>
      <c r="F333" s="46">
        <f t="shared" si="28"/>
        <v>1.71811306452228E-4</v>
      </c>
      <c r="G333" s="46">
        <f t="shared" si="28"/>
        <v>3.8421587708954035E-4</v>
      </c>
      <c r="H333" s="46">
        <f t="shared" si="28"/>
        <v>2.0870602818983674E-4</v>
      </c>
      <c r="I333" s="44" t="s">
        <v>141</v>
      </c>
      <c r="J333" s="290"/>
      <c r="K333" s="291"/>
      <c r="L333" s="291"/>
    </row>
    <row r="334" spans="2:12" x14ac:dyDescent="0.25">
      <c r="B334" s="44"/>
      <c r="C334" s="52" t="s">
        <v>109</v>
      </c>
      <c r="D334" s="46">
        <f t="shared" si="28"/>
        <v>3.8424734689010763E-3</v>
      </c>
      <c r="E334" s="46">
        <f t="shared" si="28"/>
        <v>3.0444435411248739E-4</v>
      </c>
      <c r="F334" s="46">
        <f t="shared" si="28"/>
        <v>1.71811306452228E-4</v>
      </c>
      <c r="G334" s="46">
        <f t="shared" si="28"/>
        <v>3.8421587708954035E-4</v>
      </c>
      <c r="H334" s="46">
        <f t="shared" si="28"/>
        <v>2.0870602818983674E-4</v>
      </c>
      <c r="I334" s="44" t="s">
        <v>141</v>
      </c>
      <c r="J334" s="290"/>
      <c r="K334" s="291"/>
      <c r="L334" s="291"/>
    </row>
    <row r="335" spans="2:12" x14ac:dyDescent="0.25">
      <c r="B335" s="44"/>
      <c r="C335" s="52" t="s">
        <v>110</v>
      </c>
      <c r="D335" s="46">
        <f t="shared" si="28"/>
        <v>3.8424734689010763E-3</v>
      </c>
      <c r="E335" s="46">
        <f t="shared" si="28"/>
        <v>3.0444435411248739E-4</v>
      </c>
      <c r="F335" s="46">
        <f t="shared" si="28"/>
        <v>1.71811306452228E-4</v>
      </c>
      <c r="G335" s="46">
        <f t="shared" si="28"/>
        <v>3.8421587708954035E-4</v>
      </c>
      <c r="H335" s="46">
        <f t="shared" si="28"/>
        <v>2.0870602818983674E-4</v>
      </c>
      <c r="I335" s="44" t="s">
        <v>141</v>
      </c>
      <c r="J335" s="290"/>
      <c r="K335" s="291"/>
      <c r="L335" s="291"/>
    </row>
    <row r="336" spans="2:12" x14ac:dyDescent="0.25">
      <c r="B336" s="44"/>
      <c r="C336" s="52"/>
      <c r="D336" s="592"/>
      <c r="E336" s="44"/>
      <c r="F336" s="44"/>
      <c r="G336" s="44"/>
      <c r="H336" s="46"/>
      <c r="I336" s="44"/>
      <c r="J336" s="290"/>
      <c r="K336" s="291"/>
      <c r="L336" s="291"/>
    </row>
    <row r="337" spans="2:12" x14ac:dyDescent="0.25">
      <c r="B337" s="48" t="s">
        <v>429</v>
      </c>
      <c r="C337" s="48" t="s">
        <v>175</v>
      </c>
      <c r="D337" s="44"/>
      <c r="E337" s="44"/>
      <c r="F337" s="44"/>
      <c r="G337" s="44"/>
      <c r="H337" s="44"/>
      <c r="I337" s="44"/>
      <c r="J337" s="290"/>
      <c r="K337" s="290" t="s">
        <v>428</v>
      </c>
      <c r="L337" s="290" t="s">
        <v>413</v>
      </c>
    </row>
    <row r="338" spans="2:12" x14ac:dyDescent="0.25">
      <c r="B338" s="48"/>
      <c r="C338" s="44" t="s">
        <v>98</v>
      </c>
      <c r="D338" s="44"/>
      <c r="E338" s="44"/>
      <c r="F338" s="44"/>
      <c r="G338" s="44"/>
      <c r="H338" s="44"/>
      <c r="I338" s="44" t="s">
        <v>87</v>
      </c>
      <c r="J338" s="290"/>
      <c r="K338" s="394"/>
      <c r="L338" s="394"/>
    </row>
    <row r="339" spans="2:12" x14ac:dyDescent="0.25">
      <c r="B339" s="44"/>
      <c r="C339" s="44" t="s">
        <v>430</v>
      </c>
      <c r="D339" s="44"/>
      <c r="E339" s="44"/>
      <c r="F339" s="44"/>
      <c r="G339" s="52">
        <v>1</v>
      </c>
      <c r="H339" s="44"/>
      <c r="I339" s="44" t="s">
        <v>294</v>
      </c>
      <c r="J339" s="290"/>
      <c r="K339" s="394"/>
      <c r="L339" s="394"/>
    </row>
    <row r="340" spans="2:12" x14ac:dyDescent="0.25">
      <c r="B340" s="44"/>
      <c r="C340" s="44" t="s">
        <v>431</v>
      </c>
      <c r="D340" s="44"/>
      <c r="E340" s="44"/>
      <c r="F340" s="44"/>
      <c r="G340" s="52">
        <f>0.3</f>
        <v>0.3</v>
      </c>
      <c r="H340" s="44"/>
      <c r="I340" s="44" t="s">
        <v>95</v>
      </c>
      <c r="J340" s="290"/>
      <c r="K340" s="394"/>
      <c r="L340" s="394"/>
    </row>
    <row r="341" spans="2:12" x14ac:dyDescent="0.25">
      <c r="B341" s="44"/>
      <c r="C341" s="44"/>
      <c r="D341" s="44"/>
      <c r="E341" s="44"/>
      <c r="F341" s="44"/>
      <c r="G341" s="44"/>
      <c r="H341" s="46"/>
      <c r="I341" s="44"/>
      <c r="J341" s="290"/>
      <c r="K341" s="290"/>
      <c r="L341" s="290"/>
    </row>
    <row r="342" spans="2:12" x14ac:dyDescent="0.25">
      <c r="B342" s="50" t="s">
        <v>476</v>
      </c>
      <c r="C342" s="52"/>
      <c r="D342" s="124" t="s">
        <v>446</v>
      </c>
      <c r="E342" s="124"/>
      <c r="F342" s="124" t="s">
        <v>444</v>
      </c>
      <c r="G342" s="44"/>
      <c r="H342" s="46"/>
      <c r="I342" s="44"/>
      <c r="J342" s="290"/>
      <c r="K342" s="290"/>
      <c r="L342" s="290"/>
    </row>
    <row r="343" spans="2:12" x14ac:dyDescent="0.25">
      <c r="B343" s="45"/>
      <c r="C343" s="52" t="s">
        <v>107</v>
      </c>
      <c r="D343" s="44">
        <f>D61*$G$339*$G$340</f>
        <v>0</v>
      </c>
      <c r="E343" s="44"/>
      <c r="F343" s="44">
        <f>F61*$G$339*$G$340</f>
        <v>0</v>
      </c>
      <c r="G343" s="44"/>
      <c r="H343" s="46"/>
      <c r="I343" s="44" t="s">
        <v>141</v>
      </c>
      <c r="J343" s="290"/>
      <c r="K343" s="290"/>
      <c r="L343" s="290"/>
    </row>
    <row r="344" spans="2:12" x14ac:dyDescent="0.25">
      <c r="B344" s="45"/>
      <c r="C344" s="52" t="s">
        <v>108</v>
      </c>
      <c r="D344" s="44">
        <f>D62*$G$339*$G$340</f>
        <v>0</v>
      </c>
      <c r="E344" s="44"/>
      <c r="F344" s="44">
        <f>F62*$G$339*$G$340</f>
        <v>0</v>
      </c>
      <c r="G344" s="44"/>
      <c r="H344" s="46"/>
      <c r="I344" s="44" t="s">
        <v>141</v>
      </c>
      <c r="J344" s="290"/>
      <c r="K344" s="290"/>
      <c r="L344" s="290"/>
    </row>
    <row r="345" spans="2:12" x14ac:dyDescent="0.25">
      <c r="B345" s="45"/>
      <c r="C345" s="52" t="s">
        <v>109</v>
      </c>
      <c r="D345" s="44">
        <f>D63*$G$339*$G$340</f>
        <v>0</v>
      </c>
      <c r="E345" s="44"/>
      <c r="F345" s="44">
        <f>F63*$G$339*$G$340</f>
        <v>0</v>
      </c>
      <c r="G345" s="44"/>
      <c r="H345" s="46"/>
      <c r="I345" s="44" t="s">
        <v>141</v>
      </c>
      <c r="J345" s="290"/>
      <c r="K345" s="290"/>
      <c r="L345" s="290"/>
    </row>
    <row r="346" spans="2:12" x14ac:dyDescent="0.25">
      <c r="B346" s="45"/>
      <c r="C346" s="52" t="s">
        <v>110</v>
      </c>
      <c r="D346" s="44">
        <f>D64*$G$339*$G$340</f>
        <v>0</v>
      </c>
      <c r="E346" s="44"/>
      <c r="F346" s="44">
        <f>F64*$G$339*$G$340</f>
        <v>0</v>
      </c>
      <c r="G346" s="44"/>
      <c r="H346" s="46"/>
      <c r="I346" s="44" t="s">
        <v>141</v>
      </c>
      <c r="J346" s="290"/>
      <c r="K346" s="290"/>
      <c r="L346" s="290"/>
    </row>
    <row r="347" spans="2:12" x14ac:dyDescent="0.25">
      <c r="B347" s="45"/>
      <c r="C347" s="52"/>
      <c r="D347" s="44"/>
      <c r="E347" s="44"/>
      <c r="F347" s="44"/>
      <c r="G347" s="44"/>
      <c r="H347" s="46"/>
      <c r="I347" s="44"/>
      <c r="J347" s="290"/>
      <c r="K347" s="290"/>
      <c r="L347" s="290"/>
    </row>
    <row r="348" spans="2:12" x14ac:dyDescent="0.25">
      <c r="B348" s="50" t="s">
        <v>477</v>
      </c>
      <c r="C348" s="52"/>
      <c r="D348" s="124" t="s">
        <v>446</v>
      </c>
      <c r="E348" s="124"/>
      <c r="F348" s="124" t="s">
        <v>444</v>
      </c>
      <c r="G348" s="44"/>
      <c r="H348" s="46"/>
      <c r="I348" s="44"/>
      <c r="J348" s="290"/>
      <c r="K348" s="290"/>
      <c r="L348" s="290"/>
    </row>
    <row r="349" spans="2:12" x14ac:dyDescent="0.25">
      <c r="B349" s="45"/>
      <c r="C349" s="52" t="s">
        <v>107</v>
      </c>
      <c r="D349" s="44">
        <f>D67*$G$339*$G$340</f>
        <v>0</v>
      </c>
      <c r="E349" s="44"/>
      <c r="F349" s="44">
        <f>F67*$G$339*$G$340</f>
        <v>0</v>
      </c>
      <c r="G349" s="44"/>
      <c r="H349" s="46"/>
      <c r="I349" s="44" t="s">
        <v>141</v>
      </c>
      <c r="J349" s="290"/>
      <c r="K349" s="290"/>
      <c r="L349" s="290"/>
    </row>
    <row r="350" spans="2:12" x14ac:dyDescent="0.25">
      <c r="B350" s="45"/>
      <c r="C350" s="52" t="s">
        <v>108</v>
      </c>
      <c r="D350" s="44">
        <f>D68*$G$339*$G$340</f>
        <v>0</v>
      </c>
      <c r="E350" s="44"/>
      <c r="F350" s="44">
        <f>F68*$G$339*$G$340</f>
        <v>0</v>
      </c>
      <c r="G350" s="44"/>
      <c r="H350" s="46"/>
      <c r="I350" s="44" t="s">
        <v>141</v>
      </c>
      <c r="J350" s="290"/>
      <c r="K350" s="290"/>
      <c r="L350" s="290"/>
    </row>
    <row r="351" spans="2:12" x14ac:dyDescent="0.25">
      <c r="B351" s="45"/>
      <c r="C351" s="52" t="s">
        <v>109</v>
      </c>
      <c r="D351" s="44">
        <f>D69*$G$339*$G$340</f>
        <v>0</v>
      </c>
      <c r="E351" s="44"/>
      <c r="F351" s="44">
        <f>F69*$G$339*$G$340</f>
        <v>0</v>
      </c>
      <c r="G351" s="44"/>
      <c r="H351" s="46"/>
      <c r="I351" s="44" t="s">
        <v>141</v>
      </c>
      <c r="J351" s="290"/>
      <c r="K351" s="290"/>
      <c r="L351" s="290"/>
    </row>
    <row r="352" spans="2:12" x14ac:dyDescent="0.25">
      <c r="B352" s="45"/>
      <c r="C352" s="52" t="s">
        <v>110</v>
      </c>
      <c r="D352" s="44">
        <f>D70*$G$339*$G$340</f>
        <v>0</v>
      </c>
      <c r="E352" s="44"/>
      <c r="F352" s="44">
        <f>F70*$G$339*$G$340</f>
        <v>0</v>
      </c>
      <c r="G352" s="44"/>
      <c r="H352" s="46"/>
      <c r="I352" s="44" t="s">
        <v>141</v>
      </c>
      <c r="J352" s="290"/>
      <c r="K352" s="290"/>
      <c r="L352" s="290"/>
    </row>
    <row r="353" spans="2:12" x14ac:dyDescent="0.25">
      <c r="B353" s="44"/>
      <c r="C353" s="44"/>
      <c r="D353" s="124"/>
      <c r="E353" s="395"/>
      <c r="F353" s="45"/>
      <c r="G353" s="44"/>
      <c r="H353" s="44"/>
      <c r="I353" s="44"/>
      <c r="J353" s="290"/>
      <c r="K353" s="394"/>
      <c r="L353" s="394"/>
    </row>
    <row r="354" spans="2:12" x14ac:dyDescent="0.25">
      <c r="B354" s="48" t="s">
        <v>180</v>
      </c>
      <c r="C354" s="48" t="s">
        <v>91</v>
      </c>
      <c r="D354" s="44"/>
      <c r="E354" s="44"/>
      <c r="F354" s="44"/>
      <c r="G354" s="44"/>
      <c r="H354" s="44"/>
      <c r="I354" s="44"/>
      <c r="J354" s="290" t="s">
        <v>777</v>
      </c>
      <c r="K354" s="290" t="s">
        <v>432</v>
      </c>
      <c r="L354" s="290" t="s">
        <v>759</v>
      </c>
    </row>
    <row r="355" spans="2:12" x14ac:dyDescent="0.25">
      <c r="B355" s="44"/>
      <c r="C355" s="44" t="s">
        <v>179</v>
      </c>
      <c r="D355" s="44"/>
      <c r="E355" s="44"/>
      <c r="F355" s="44"/>
      <c r="G355" s="44"/>
      <c r="H355" s="44"/>
      <c r="I355" s="44" t="s">
        <v>87</v>
      </c>
      <c r="J355" s="290"/>
      <c r="K355" s="394"/>
      <c r="L355" s="394"/>
    </row>
    <row r="356" spans="2:12" x14ac:dyDescent="0.25">
      <c r="B356" s="44"/>
      <c r="C356" s="44" t="s">
        <v>433</v>
      </c>
      <c r="D356" s="44">
        <v>7.4999999999999997E-3</v>
      </c>
      <c r="E356" s="44"/>
      <c r="F356" s="44"/>
      <c r="G356" s="44"/>
      <c r="H356" s="44"/>
      <c r="I356" s="44" t="s">
        <v>92</v>
      </c>
      <c r="J356" s="290"/>
      <c r="K356" s="394"/>
      <c r="L356" s="394"/>
    </row>
    <row r="357" spans="2:12" x14ac:dyDescent="0.25">
      <c r="B357" s="44"/>
      <c r="C357" s="44" t="s">
        <v>311</v>
      </c>
      <c r="D357" s="46">
        <f>GWP!C15</f>
        <v>1.5714285714285714</v>
      </c>
      <c r="E357" s="44"/>
      <c r="F357" s="44"/>
      <c r="G357" s="44"/>
      <c r="H357" s="44"/>
      <c r="I357" s="44"/>
      <c r="J357" s="290"/>
      <c r="K357" s="394"/>
      <c r="L357" s="394"/>
    </row>
    <row r="358" spans="2:12" x14ac:dyDescent="0.25">
      <c r="B358" s="44"/>
      <c r="C358" s="44"/>
      <c r="D358" s="44"/>
      <c r="E358" s="44"/>
      <c r="F358" s="44"/>
      <c r="G358" s="44"/>
      <c r="H358" s="44"/>
      <c r="I358" s="44"/>
      <c r="J358" s="290"/>
      <c r="K358" s="394"/>
      <c r="L358" s="394"/>
    </row>
    <row r="359" spans="2:12" x14ac:dyDescent="0.25">
      <c r="B359" s="48" t="s">
        <v>6</v>
      </c>
      <c r="C359" s="139" t="s">
        <v>107</v>
      </c>
      <c r="D359" s="140">
        <f>(SUM(D315,F315,D321,F321,D332:H332,D343,F343,D349,F349))*$D$356*$D$357</f>
        <v>5.788731576663949E-5</v>
      </c>
      <c r="E359" s="141"/>
      <c r="F359" s="44"/>
      <c r="G359" s="44"/>
      <c r="H359" s="44"/>
      <c r="I359" s="44" t="s">
        <v>161</v>
      </c>
      <c r="J359" s="290"/>
      <c r="K359" s="394"/>
      <c r="L359" s="394"/>
    </row>
    <row r="360" spans="2:12" x14ac:dyDescent="0.25">
      <c r="B360" s="44"/>
      <c r="C360" s="142" t="s">
        <v>108</v>
      </c>
      <c r="D360" s="51">
        <f t="shared" ref="D360:D362" si="29">(SUM(D316,F316,D322,F322,D333:H333,D344,F344,D350,F350))*$D$356*$D$357</f>
        <v>5.788731576663949E-5</v>
      </c>
      <c r="E360" s="143"/>
      <c r="F360" s="44"/>
      <c r="G360" s="44"/>
      <c r="H360" s="44"/>
      <c r="I360" s="44" t="s">
        <v>161</v>
      </c>
      <c r="J360" s="290"/>
      <c r="K360" s="394"/>
      <c r="L360" s="394"/>
    </row>
    <row r="361" spans="2:12" x14ac:dyDescent="0.25">
      <c r="B361" s="44"/>
      <c r="C361" s="142" t="s">
        <v>109</v>
      </c>
      <c r="D361" s="51">
        <f t="shared" si="29"/>
        <v>1.9931588719521089E-4</v>
      </c>
      <c r="E361" s="143"/>
      <c r="F361" s="44"/>
      <c r="G361" s="44"/>
      <c r="H361" s="44"/>
      <c r="I361" s="44" t="s">
        <v>161</v>
      </c>
      <c r="J361" s="290"/>
      <c r="K361" s="394"/>
      <c r="L361" s="394"/>
    </row>
    <row r="362" spans="2:12" x14ac:dyDescent="0.25">
      <c r="B362" s="44"/>
      <c r="C362" s="144" t="s">
        <v>110</v>
      </c>
      <c r="D362" s="145">
        <f t="shared" si="29"/>
        <v>5.788731576663949E-5</v>
      </c>
      <c r="E362" s="146"/>
      <c r="F362" s="44"/>
      <c r="G362" s="44"/>
      <c r="H362" s="44"/>
      <c r="I362" s="44" t="s">
        <v>161</v>
      </c>
      <c r="J362" s="290"/>
      <c r="K362" s="394"/>
      <c r="L362" s="394"/>
    </row>
    <row r="363" spans="2:12" x14ac:dyDescent="0.25">
      <c r="B363" s="44"/>
      <c r="C363" s="44"/>
      <c r="D363" s="44"/>
      <c r="E363" s="44"/>
      <c r="F363" s="44"/>
      <c r="G363" s="44"/>
      <c r="H363" s="44"/>
      <c r="I363" s="44"/>
      <c r="J363" s="290"/>
      <c r="K363" s="394"/>
      <c r="L363" s="394"/>
    </row>
    <row r="364" spans="2:12" x14ac:dyDescent="0.25">
      <c r="B364" s="48" t="s">
        <v>130</v>
      </c>
      <c r="C364" s="46">
        <f>SUM(D359:D362)</f>
        <v>3.7297783449512939E-4</v>
      </c>
      <c r="D364" s="44"/>
      <c r="E364" s="44"/>
      <c r="F364" s="44"/>
      <c r="G364" s="44"/>
      <c r="H364" s="44"/>
      <c r="I364" s="44" t="s">
        <v>154</v>
      </c>
      <c r="J364" s="290"/>
      <c r="K364" s="394"/>
      <c r="L364" s="394"/>
    </row>
    <row r="365" spans="2:12" x14ac:dyDescent="0.25">
      <c r="B365" s="50" t="s">
        <v>105</v>
      </c>
      <c r="C365" s="396">
        <f>C364*GWP!C6</f>
        <v>0.11114739467954855</v>
      </c>
      <c r="D365" s="45"/>
      <c r="E365" s="45"/>
      <c r="F365" s="45"/>
      <c r="G365" s="45"/>
      <c r="H365" s="45"/>
      <c r="I365" s="45" t="s">
        <v>70</v>
      </c>
      <c r="J365" s="292"/>
      <c r="K365" s="397"/>
      <c r="L365" s="397"/>
    </row>
    <row r="366" spans="2:12" x14ac:dyDescent="0.25">
      <c r="B366" s="119" t="s">
        <v>105</v>
      </c>
      <c r="C366" s="317">
        <f>C365*10^3</f>
        <v>111.14739467954855</v>
      </c>
      <c r="D366" s="137"/>
      <c r="E366" s="137"/>
      <c r="F366" s="137"/>
      <c r="G366" s="137"/>
      <c r="H366" s="137"/>
      <c r="I366" s="137"/>
      <c r="J366" s="294"/>
      <c r="K366" s="386"/>
      <c r="L366" s="386"/>
    </row>
  </sheetData>
  <sheetProtection sheet="1" objects="1" scenarios="1"/>
  <phoneticPr fontId="0" type="noConversion"/>
  <pageMargins left="0.75" right="0.75" top="1" bottom="1" header="0.5" footer="0.5"/>
  <pageSetup paperSize="9" orientation="portrait" horizontalDpi="300" verticalDpi="30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heetViews>
  <sheetFormatPr defaultColWidth="10.85546875" defaultRowHeight="12.75" x14ac:dyDescent="0.2"/>
  <cols>
    <col min="1" max="1" width="4.7109375" style="485" customWidth="1"/>
    <col min="2" max="10" width="10.85546875" style="485"/>
    <col min="11" max="11" width="14.85546875" style="485" customWidth="1"/>
    <col min="12" max="12" width="21.7109375" style="485" customWidth="1"/>
    <col min="13" max="13" width="25.140625" style="485" customWidth="1"/>
    <col min="14" max="14" width="23" style="485" customWidth="1"/>
    <col min="15" max="16384" width="10.85546875" style="485"/>
  </cols>
  <sheetData>
    <row r="1" spans="1:14" ht="18.75" x14ac:dyDescent="0.3">
      <c r="A1" s="484" t="s">
        <v>331</v>
      </c>
    </row>
    <row r="2" spans="1:14" ht="15.75" x14ac:dyDescent="0.25">
      <c r="B2" s="328" t="s">
        <v>7</v>
      </c>
      <c r="C2" s="328"/>
      <c r="D2" s="329"/>
      <c r="E2" s="328" t="s">
        <v>332</v>
      </c>
      <c r="F2" s="328"/>
      <c r="G2" s="328"/>
      <c r="H2" s="328"/>
      <c r="I2" s="328"/>
      <c r="J2" s="328"/>
      <c r="K2" s="330" t="s">
        <v>24</v>
      </c>
      <c r="L2" s="331" t="s">
        <v>199</v>
      </c>
      <c r="M2" s="332" t="s">
        <v>333</v>
      </c>
      <c r="N2" s="331" t="s">
        <v>758</v>
      </c>
    </row>
    <row r="3" spans="1:14" x14ac:dyDescent="0.2">
      <c r="B3" s="333"/>
      <c r="C3" s="333"/>
      <c r="D3" s="333"/>
      <c r="E3" s="333"/>
      <c r="F3" s="333"/>
      <c r="G3" s="333"/>
      <c r="H3" s="333"/>
      <c r="I3" s="333"/>
      <c r="J3" s="333"/>
      <c r="K3" s="333"/>
      <c r="L3" s="334"/>
      <c r="M3" s="334"/>
      <c r="N3" s="334"/>
    </row>
    <row r="4" spans="1:14" x14ac:dyDescent="0.2">
      <c r="B4" s="335" t="s">
        <v>334</v>
      </c>
      <c r="C4" s="335"/>
      <c r="D4" s="335"/>
      <c r="E4" s="335"/>
      <c r="F4" s="335">
        <f>'Data input'!D80</f>
        <v>20</v>
      </c>
      <c r="G4" s="335"/>
      <c r="H4" s="335"/>
      <c r="I4" s="335"/>
      <c r="J4" s="335"/>
      <c r="K4" s="335" t="s">
        <v>335</v>
      </c>
      <c r="L4" s="336"/>
      <c r="M4" s="336"/>
      <c r="N4" s="336"/>
    </row>
    <row r="5" spans="1:14" x14ac:dyDescent="0.2">
      <c r="B5" s="335" t="s">
        <v>336</v>
      </c>
      <c r="C5" s="335"/>
      <c r="D5" s="335"/>
      <c r="E5" s="335"/>
      <c r="F5" s="335">
        <f>'Data input'!D81</f>
        <v>0.9</v>
      </c>
      <c r="G5" s="335"/>
      <c r="H5" s="335"/>
      <c r="I5" s="335"/>
      <c r="J5" s="335"/>
      <c r="K5" s="335"/>
      <c r="L5" s="336"/>
      <c r="M5" s="336"/>
      <c r="N5" s="336"/>
    </row>
    <row r="6" spans="1:14" x14ac:dyDescent="0.2">
      <c r="B6" s="335" t="s">
        <v>337</v>
      </c>
      <c r="C6" s="335"/>
      <c r="D6" s="335"/>
      <c r="E6" s="335"/>
      <c r="F6" s="335">
        <v>0.9</v>
      </c>
      <c r="G6" s="335"/>
      <c r="H6" s="335"/>
      <c r="I6" s="335"/>
      <c r="J6" s="335"/>
      <c r="K6" s="335"/>
      <c r="L6" s="336"/>
      <c r="M6" s="336"/>
      <c r="N6" s="336"/>
    </row>
    <row r="7" spans="1:14" x14ac:dyDescent="0.2">
      <c r="B7" s="335" t="s">
        <v>338</v>
      </c>
      <c r="C7" s="335"/>
      <c r="D7" s="335"/>
      <c r="E7" s="335"/>
      <c r="F7" s="335">
        <v>0.95</v>
      </c>
      <c r="G7" s="335"/>
      <c r="H7" s="335"/>
      <c r="I7" s="335"/>
      <c r="J7" s="335"/>
      <c r="K7" s="335"/>
      <c r="L7" s="336"/>
      <c r="M7" s="336"/>
      <c r="N7" s="336"/>
    </row>
    <row r="8" spans="1:14" x14ac:dyDescent="0.2">
      <c r="B8" s="335" t="s">
        <v>339</v>
      </c>
      <c r="C8" s="335"/>
      <c r="D8" s="335"/>
      <c r="E8" s="335"/>
      <c r="F8" s="335">
        <v>0.12</v>
      </c>
      <c r="G8" s="335"/>
      <c r="H8" s="335"/>
      <c r="I8" s="335"/>
      <c r="J8" s="335"/>
      <c r="K8" s="335"/>
      <c r="L8" s="336"/>
      <c r="M8" s="336"/>
      <c r="N8" s="336"/>
    </row>
    <row r="9" spans="1:14" x14ac:dyDescent="0.2">
      <c r="B9" s="335" t="s">
        <v>340</v>
      </c>
      <c r="C9" s="335"/>
      <c r="D9" s="335"/>
      <c r="E9" s="335"/>
      <c r="F9" s="335">
        <v>0.13</v>
      </c>
      <c r="G9" s="335"/>
      <c r="H9" s="335"/>
      <c r="I9" s="335"/>
      <c r="J9" s="335"/>
      <c r="K9" s="335"/>
      <c r="L9" s="336"/>
      <c r="M9" s="336"/>
      <c r="N9" s="336"/>
    </row>
    <row r="10" spans="1:14" x14ac:dyDescent="0.2">
      <c r="B10" s="335" t="s">
        <v>311</v>
      </c>
      <c r="C10" s="335"/>
      <c r="D10" s="335"/>
      <c r="E10" s="335"/>
      <c r="F10" s="337">
        <f>GWP!C13</f>
        <v>3.6666666666666665</v>
      </c>
      <c r="G10" s="335"/>
      <c r="H10" s="335"/>
      <c r="I10" s="335"/>
      <c r="J10" s="335"/>
      <c r="K10" s="335"/>
      <c r="L10" s="336"/>
      <c r="M10" s="336"/>
      <c r="N10" s="336"/>
    </row>
    <row r="11" spans="1:14" x14ac:dyDescent="0.2">
      <c r="B11" s="335"/>
      <c r="C11" s="335"/>
      <c r="D11" s="335"/>
      <c r="E11" s="335"/>
      <c r="F11" s="335"/>
      <c r="G11" s="335"/>
      <c r="H11" s="335"/>
      <c r="I11" s="335"/>
      <c r="J11" s="335"/>
      <c r="K11" s="335"/>
      <c r="L11" s="336"/>
      <c r="M11" s="336"/>
      <c r="N11" s="336"/>
    </row>
    <row r="12" spans="1:14" x14ac:dyDescent="0.2">
      <c r="B12" s="335" t="s">
        <v>341</v>
      </c>
      <c r="C12" s="335"/>
      <c r="D12" s="335"/>
      <c r="E12" s="335"/>
      <c r="F12" s="335"/>
      <c r="G12" s="335"/>
      <c r="H12" s="335"/>
      <c r="I12" s="335"/>
      <c r="J12" s="335"/>
      <c r="K12" s="335"/>
      <c r="L12" s="574" t="s">
        <v>814</v>
      </c>
      <c r="M12" s="338" t="s">
        <v>342</v>
      </c>
      <c r="N12" s="338" t="s">
        <v>413</v>
      </c>
    </row>
    <row r="13" spans="1:14" x14ac:dyDescent="0.2">
      <c r="B13" s="335"/>
      <c r="C13" s="335"/>
      <c r="D13" s="335"/>
      <c r="E13" s="335"/>
      <c r="F13" s="335"/>
      <c r="G13" s="335"/>
      <c r="H13" s="335"/>
      <c r="I13" s="335"/>
      <c r="J13" s="335"/>
      <c r="K13" s="335"/>
      <c r="L13" s="336"/>
      <c r="M13" s="336"/>
      <c r="N13" s="336"/>
    </row>
    <row r="14" spans="1:14" x14ac:dyDescent="0.2">
      <c r="B14" s="335" t="s">
        <v>343</v>
      </c>
      <c r="C14" s="335"/>
      <c r="D14" s="335"/>
      <c r="E14" s="335"/>
      <c r="F14" s="515">
        <f>((F4*F5*F6*F8)+(F4*(1-F5)*F7*F9)*F10)/1000</f>
        <v>2.8496666666666661E-3</v>
      </c>
      <c r="G14" s="335"/>
      <c r="H14" s="335"/>
      <c r="I14" s="335"/>
      <c r="J14" s="335"/>
      <c r="K14" s="335" t="s">
        <v>42</v>
      </c>
      <c r="L14" s="336"/>
      <c r="M14" s="336"/>
      <c r="N14" s="336"/>
    </row>
    <row r="15" spans="1:14" x14ac:dyDescent="0.2">
      <c r="B15" s="571" t="s">
        <v>343</v>
      </c>
      <c r="C15" s="571"/>
      <c r="D15" s="571"/>
      <c r="E15" s="571"/>
      <c r="F15" s="572">
        <f>F14*10^3</f>
        <v>2.8496666666666663</v>
      </c>
      <c r="G15" s="571"/>
      <c r="H15" s="571"/>
      <c r="I15" s="571"/>
      <c r="J15" s="571"/>
      <c r="K15" s="571" t="s">
        <v>321</v>
      </c>
      <c r="L15" s="573"/>
      <c r="M15" s="573"/>
      <c r="N15" s="573"/>
    </row>
  </sheetData>
  <sheetProtection sheet="1" objects="1" scenarios="1"/>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2"/>
  <sheetViews>
    <sheetView workbookViewId="0"/>
  </sheetViews>
  <sheetFormatPr defaultColWidth="9" defaultRowHeight="15.75" x14ac:dyDescent="0.25"/>
  <cols>
    <col min="1" max="1" width="3.7109375" style="430" customWidth="1"/>
    <col min="2" max="2" width="39.85546875" style="430" customWidth="1"/>
    <col min="3" max="4" width="18.85546875" style="430" customWidth="1"/>
    <col min="5" max="5" width="14.140625" style="430" customWidth="1"/>
    <col min="6" max="6" width="21.7109375" style="430" customWidth="1"/>
    <col min="7" max="7" width="17.28515625" style="430" customWidth="1"/>
    <col min="8" max="8" width="17.42578125" style="430" customWidth="1"/>
    <col min="9" max="16384" width="9" style="430"/>
  </cols>
  <sheetData>
    <row r="1" spans="2:8" ht="18.75" x14ac:dyDescent="0.3">
      <c r="B1" s="518" t="s">
        <v>778</v>
      </c>
    </row>
    <row r="3" spans="2:8" x14ac:dyDescent="0.25">
      <c r="B3" s="519" t="s">
        <v>410</v>
      </c>
      <c r="C3" s="520" t="str">
        <f>'Data input'!D45</f>
        <v>Dryland</v>
      </c>
      <c r="D3" s="520" t="str">
        <f>'Data input'!F45</f>
        <v>Irrigated</v>
      </c>
      <c r="E3" s="521" t="s">
        <v>24</v>
      </c>
      <c r="F3" s="522" t="s">
        <v>199</v>
      </c>
      <c r="G3" s="523" t="s">
        <v>333</v>
      </c>
      <c r="H3" s="522" t="s">
        <v>758</v>
      </c>
    </row>
    <row r="4" spans="2:8" x14ac:dyDescent="0.25">
      <c r="B4" s="524"/>
      <c r="C4" s="525"/>
      <c r="D4" s="525"/>
      <c r="E4" s="524"/>
      <c r="F4" s="526"/>
      <c r="G4" s="526"/>
      <c r="H4" s="526"/>
    </row>
    <row r="5" spans="2:8" x14ac:dyDescent="0.25">
      <c r="B5" s="527" t="s">
        <v>779</v>
      </c>
      <c r="C5" s="528">
        <f>'Data input'!D46</f>
        <v>0</v>
      </c>
      <c r="D5" s="528">
        <f>'Data input'!F46</f>
        <v>0</v>
      </c>
      <c r="E5" s="529" t="s">
        <v>40</v>
      </c>
      <c r="F5" s="530"/>
      <c r="G5" s="526"/>
      <c r="H5" s="526"/>
    </row>
    <row r="6" spans="2:8" x14ac:dyDescent="0.25">
      <c r="B6" s="531" t="s">
        <v>780</v>
      </c>
      <c r="C6" s="525">
        <f>'Data input'!D47</f>
        <v>0</v>
      </c>
      <c r="D6" s="525">
        <f>'Data input'!F47</f>
        <v>200</v>
      </c>
      <c r="E6" s="532" t="s">
        <v>40</v>
      </c>
      <c r="F6" s="530"/>
      <c r="G6" s="526"/>
      <c r="H6" s="526"/>
    </row>
    <row r="7" spans="2:8" x14ac:dyDescent="0.25">
      <c r="B7" s="531" t="s">
        <v>781</v>
      </c>
      <c r="C7" s="525">
        <f>'Data input'!D77</f>
        <v>200</v>
      </c>
      <c r="D7" s="525">
        <f>'Data input'!F77</f>
        <v>200</v>
      </c>
      <c r="E7" s="532" t="s">
        <v>782</v>
      </c>
      <c r="F7" s="530"/>
      <c r="G7" s="526"/>
      <c r="H7" s="526"/>
    </row>
    <row r="8" spans="2:8" x14ac:dyDescent="0.25">
      <c r="B8" s="533" t="s">
        <v>783</v>
      </c>
      <c r="C8" s="534">
        <f>'Data input'!D78</f>
        <v>200</v>
      </c>
      <c r="D8" s="534">
        <f>'Data input'!F78</f>
        <v>200</v>
      </c>
      <c r="E8" s="535" t="s">
        <v>782</v>
      </c>
      <c r="F8" s="530"/>
      <c r="G8" s="526"/>
      <c r="H8" s="526"/>
    </row>
    <row r="9" spans="2:8" x14ac:dyDescent="0.25">
      <c r="B9" s="536"/>
      <c r="C9" s="525"/>
      <c r="D9" s="525"/>
      <c r="E9" s="537"/>
      <c r="F9" s="530"/>
      <c r="G9" s="526"/>
      <c r="H9" s="526"/>
    </row>
    <row r="10" spans="2:8" x14ac:dyDescent="0.25">
      <c r="B10" s="538" t="s">
        <v>784</v>
      </c>
      <c r="C10" s="534">
        <f>((C5+C6)*(C7+C8))*10^-3</f>
        <v>0</v>
      </c>
      <c r="D10" s="525">
        <f>((D5+D6)*(D7+D8))*10^-3</f>
        <v>80</v>
      </c>
      <c r="E10" s="537" t="s">
        <v>785</v>
      </c>
      <c r="F10" s="530"/>
      <c r="G10" s="526"/>
      <c r="H10" s="526"/>
    </row>
    <row r="11" spans="2:8" x14ac:dyDescent="0.25">
      <c r="B11" s="536"/>
      <c r="C11" s="536"/>
      <c r="D11" s="539"/>
      <c r="E11" s="540"/>
      <c r="F11" s="530"/>
      <c r="G11" s="526"/>
      <c r="H11" s="526"/>
    </row>
    <row r="12" spans="2:8" x14ac:dyDescent="0.25">
      <c r="B12" s="538"/>
      <c r="C12" s="538"/>
      <c r="D12" s="538"/>
      <c r="E12" s="541"/>
      <c r="F12" s="530"/>
      <c r="G12" s="526"/>
      <c r="H12" s="526"/>
    </row>
    <row r="13" spans="2:8" x14ac:dyDescent="0.25">
      <c r="B13" s="542" t="s">
        <v>100</v>
      </c>
      <c r="C13" s="525"/>
      <c r="D13" s="543"/>
      <c r="E13" s="537"/>
      <c r="F13" s="530"/>
      <c r="G13" s="526"/>
      <c r="H13" s="526"/>
    </row>
    <row r="14" spans="2:8" x14ac:dyDescent="0.25">
      <c r="B14" s="542" t="s">
        <v>85</v>
      </c>
      <c r="C14" s="544" t="s">
        <v>786</v>
      </c>
      <c r="D14" s="525"/>
      <c r="E14" s="537"/>
      <c r="F14" s="545"/>
      <c r="G14" s="545" t="s">
        <v>787</v>
      </c>
      <c r="H14" s="545" t="s">
        <v>788</v>
      </c>
    </row>
    <row r="15" spans="2:8" x14ac:dyDescent="0.25">
      <c r="B15" s="546"/>
      <c r="C15" s="547" t="s">
        <v>789</v>
      </c>
      <c r="D15" s="547"/>
      <c r="E15" s="537"/>
      <c r="F15" s="548"/>
      <c r="G15" s="526"/>
      <c r="H15" s="526"/>
    </row>
    <row r="16" spans="2:8" x14ac:dyDescent="0.25">
      <c r="B16" s="536"/>
      <c r="C16" s="547" t="s">
        <v>790</v>
      </c>
      <c r="D16" s="547">
        <v>0.2</v>
      </c>
      <c r="E16" s="537"/>
      <c r="F16" s="545"/>
      <c r="G16" s="526"/>
      <c r="H16" s="526"/>
    </row>
    <row r="17" spans="2:8" x14ac:dyDescent="0.25">
      <c r="B17" s="536"/>
      <c r="C17" s="546" t="s">
        <v>791</v>
      </c>
      <c r="D17" s="547">
        <f>GWP!C13</f>
        <v>3.6666666666666665</v>
      </c>
      <c r="E17" s="537"/>
      <c r="F17" s="530"/>
      <c r="G17" s="526"/>
      <c r="H17" s="526"/>
    </row>
    <row r="18" spans="2:8" x14ac:dyDescent="0.25">
      <c r="B18" s="536"/>
      <c r="C18" s="549">
        <f>(C10*$D$16*$D$17)*10^-3</f>
        <v>0</v>
      </c>
      <c r="D18" s="549">
        <f>(D10*$D$16*$D$17)*10^-3</f>
        <v>5.8666666666666666E-2</v>
      </c>
      <c r="E18" s="537" t="s">
        <v>792</v>
      </c>
      <c r="F18" s="530"/>
      <c r="G18" s="526"/>
      <c r="H18" s="526"/>
    </row>
    <row r="19" spans="2:8" x14ac:dyDescent="0.25">
      <c r="B19" s="546"/>
      <c r="C19" s="525"/>
      <c r="D19" s="537"/>
      <c r="E19" s="550"/>
      <c r="F19" s="530"/>
      <c r="G19" s="526"/>
      <c r="H19" s="526"/>
    </row>
    <row r="20" spans="2:8" x14ac:dyDescent="0.25">
      <c r="B20" s="551" t="s">
        <v>6</v>
      </c>
      <c r="C20" s="543">
        <f>SUM(C18:D18)</f>
        <v>5.8666666666666666E-2</v>
      </c>
      <c r="D20" s="552"/>
      <c r="E20" s="537" t="str">
        <f>E18</f>
        <v>Gg CO2e</v>
      </c>
      <c r="F20" s="526"/>
      <c r="G20" s="526"/>
      <c r="H20" s="526"/>
    </row>
    <row r="21" spans="2:8" x14ac:dyDescent="0.25">
      <c r="B21" s="551"/>
      <c r="C21" s="543"/>
      <c r="D21" s="543"/>
      <c r="E21" s="537"/>
      <c r="F21" s="526"/>
      <c r="G21" s="526"/>
      <c r="H21" s="526"/>
    </row>
    <row r="22" spans="2:8" x14ac:dyDescent="0.25">
      <c r="B22" s="553" t="s">
        <v>6</v>
      </c>
      <c r="C22" s="554">
        <f>C20*10^3</f>
        <v>58.666666666666664</v>
      </c>
      <c r="D22" s="538"/>
      <c r="E22" s="555" t="s">
        <v>607</v>
      </c>
      <c r="F22" s="556"/>
      <c r="G22" s="556"/>
      <c r="H22" s="556"/>
    </row>
  </sheetData>
  <sheetProtection sheet="1" objects="1" scenarios="1"/>
  <pageMargins left="0.75" right="0.75" top="1" bottom="1" header="0.5" footer="0.5"/>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27"/>
  <sheetViews>
    <sheetView showGridLines="0" workbookViewId="0"/>
  </sheetViews>
  <sheetFormatPr defaultColWidth="9" defaultRowHeight="15.75" x14ac:dyDescent="0.25"/>
  <cols>
    <col min="1" max="1" width="3" style="6" customWidth="1"/>
    <col min="2" max="2" width="41" style="6" customWidth="1"/>
    <col min="3" max="3" width="26.42578125" style="6" customWidth="1"/>
    <col min="4" max="4" width="20.85546875" style="6" customWidth="1"/>
    <col min="5" max="5" width="14.42578125" style="6" customWidth="1"/>
    <col min="6" max="6" width="10.42578125" style="6" customWidth="1"/>
    <col min="7" max="7" width="10.28515625" style="6" customWidth="1"/>
    <col min="8" max="8" width="23" style="6" customWidth="1"/>
    <col min="9" max="9" width="35.7109375" style="6" customWidth="1"/>
    <col min="10" max="10" width="9" style="6"/>
    <col min="11" max="11" width="21.42578125" style="6" customWidth="1"/>
    <col min="12" max="12" width="18.42578125" style="6" customWidth="1"/>
    <col min="13" max="13" width="15" style="6" customWidth="1"/>
    <col min="14" max="14" width="17.42578125" style="6" customWidth="1"/>
    <col min="15" max="15" width="19.42578125" style="6" customWidth="1"/>
    <col min="16" max="16" width="14.7109375" style="6" customWidth="1"/>
    <col min="17" max="21" width="9" style="6"/>
    <col min="22" max="22" width="25.85546875" style="6" customWidth="1"/>
    <col min="23" max="29" width="14.140625" style="6" customWidth="1"/>
    <col min="30" max="30" width="13.140625" style="6" customWidth="1"/>
    <col min="31" max="16384" width="9" style="6"/>
  </cols>
  <sheetData>
    <row r="1" spans="1:30" ht="18.75" x14ac:dyDescent="0.3">
      <c r="B1" s="425" t="s">
        <v>35</v>
      </c>
      <c r="K1" s="84"/>
      <c r="L1" s="84"/>
      <c r="M1" s="84"/>
      <c r="N1" s="84"/>
      <c r="O1" s="84"/>
      <c r="P1" s="84"/>
      <c r="Q1" s="84"/>
      <c r="R1" s="84"/>
    </row>
    <row r="2" spans="1:30" ht="18.75" x14ac:dyDescent="0.3">
      <c r="A2" s="7"/>
      <c r="B2" s="425"/>
      <c r="J2" s="5"/>
      <c r="K2" s="5"/>
      <c r="L2" s="5"/>
      <c r="M2" s="5"/>
      <c r="N2" s="5"/>
      <c r="O2" s="5"/>
      <c r="P2" s="5"/>
      <c r="Q2" s="5"/>
      <c r="R2" s="5"/>
      <c r="S2" s="5"/>
    </row>
    <row r="3" spans="1:30" ht="18.75" x14ac:dyDescent="0.3">
      <c r="B3" s="433" t="s">
        <v>346</v>
      </c>
      <c r="C3" s="228"/>
      <c r="D3" s="228"/>
      <c r="E3" s="228"/>
      <c r="F3" s="228"/>
      <c r="G3" s="228"/>
      <c r="H3" s="228"/>
      <c r="I3" s="342"/>
      <c r="J3" s="5"/>
      <c r="K3" s="265" t="s">
        <v>0</v>
      </c>
      <c r="L3" s="259"/>
      <c r="M3" s="352"/>
      <c r="N3" s="352"/>
      <c r="O3" s="352"/>
      <c r="P3" s="259"/>
      <c r="Q3" s="352"/>
      <c r="R3" s="352"/>
      <c r="S3" s="352"/>
      <c r="T3" s="434"/>
      <c r="V3" s="435" t="s">
        <v>484</v>
      </c>
      <c r="W3" s="436"/>
      <c r="X3" s="436"/>
      <c r="Y3" s="436"/>
      <c r="Z3" s="436"/>
      <c r="AA3" s="436"/>
      <c r="AB3" s="436"/>
      <c r="AC3" s="436"/>
      <c r="AD3" s="437"/>
    </row>
    <row r="4" spans="1:30" x14ac:dyDescent="0.25">
      <c r="B4" s="355" t="s">
        <v>7</v>
      </c>
      <c r="C4" s="54"/>
      <c r="D4" s="54"/>
      <c r="E4" s="54"/>
      <c r="F4" s="438" t="s">
        <v>24</v>
      </c>
      <c r="G4" s="54"/>
      <c r="H4" s="54"/>
      <c r="I4" s="350" t="s">
        <v>207</v>
      </c>
      <c r="J4" s="5"/>
      <c r="K4" s="256">
        <v>1</v>
      </c>
      <c r="L4" s="5" t="s">
        <v>230</v>
      </c>
      <c r="T4" s="439"/>
      <c r="V4" s="440"/>
      <c r="W4" s="441" t="s">
        <v>485</v>
      </c>
      <c r="X4" s="441" t="s">
        <v>347</v>
      </c>
      <c r="Y4" s="441" t="s">
        <v>486</v>
      </c>
      <c r="Z4" s="441" t="s">
        <v>234</v>
      </c>
      <c r="AA4" s="441" t="s">
        <v>348</v>
      </c>
      <c r="AB4" s="441" t="s">
        <v>487</v>
      </c>
      <c r="AC4" s="441" t="s">
        <v>488</v>
      </c>
      <c r="AD4" s="442" t="s">
        <v>6</v>
      </c>
    </row>
    <row r="5" spans="1:30" x14ac:dyDescent="0.25">
      <c r="B5" s="54" t="s">
        <v>349</v>
      </c>
      <c r="C5" s="356">
        <f>'Data input'!$D$85*10^-3</f>
        <v>0</v>
      </c>
      <c r="D5" s="54"/>
      <c r="E5" s="54"/>
      <c r="F5" s="443" t="s">
        <v>489</v>
      </c>
      <c r="G5" s="54"/>
      <c r="H5" s="54"/>
      <c r="I5" s="444" t="s">
        <v>490</v>
      </c>
      <c r="J5" s="5"/>
      <c r="K5" s="256">
        <v>2</v>
      </c>
      <c r="L5" s="5" t="s">
        <v>231</v>
      </c>
      <c r="T5" s="439"/>
      <c r="V5" s="440" t="s">
        <v>491</v>
      </c>
      <c r="W5" s="441">
        <v>11797</v>
      </c>
      <c r="X5" s="441">
        <v>0</v>
      </c>
      <c r="Y5" s="441">
        <v>1745</v>
      </c>
      <c r="Z5" s="441">
        <v>0</v>
      </c>
      <c r="AA5" s="441">
        <v>0</v>
      </c>
      <c r="AB5" s="441">
        <v>8805</v>
      </c>
      <c r="AC5" s="441">
        <v>0</v>
      </c>
      <c r="AD5" s="445">
        <f t="shared" ref="AD5:AD15" si="0">SUM(W5:AC5)</f>
        <v>22347</v>
      </c>
    </row>
    <row r="6" spans="1:30" x14ac:dyDescent="0.25">
      <c r="B6" s="54" t="s">
        <v>492</v>
      </c>
      <c r="C6" s="357">
        <v>38.6</v>
      </c>
      <c r="D6" s="54"/>
      <c r="E6" s="54"/>
      <c r="F6" s="443" t="s">
        <v>398</v>
      </c>
      <c r="G6" s="54"/>
      <c r="H6" s="54"/>
      <c r="I6" s="350" t="s">
        <v>490</v>
      </c>
      <c r="J6" s="5"/>
      <c r="K6" s="256">
        <v>3</v>
      </c>
      <c r="L6" s="5" t="s">
        <v>347</v>
      </c>
      <c r="T6" s="439"/>
      <c r="V6" s="440" t="s">
        <v>493</v>
      </c>
      <c r="W6" s="441">
        <v>0</v>
      </c>
      <c r="X6" s="441">
        <v>0</v>
      </c>
      <c r="Y6" s="441">
        <v>0</v>
      </c>
      <c r="Z6" s="441">
        <v>780</v>
      </c>
      <c r="AA6" s="441">
        <v>6555</v>
      </c>
      <c r="AB6" s="441">
        <v>0</v>
      </c>
      <c r="AC6" s="441">
        <v>0</v>
      </c>
      <c r="AD6" s="445">
        <f t="shared" si="0"/>
        <v>7335</v>
      </c>
    </row>
    <row r="7" spans="1:30" x14ac:dyDescent="0.25">
      <c r="B7" s="54" t="s">
        <v>494</v>
      </c>
      <c r="C7" s="446">
        <v>69.900000000000006</v>
      </c>
      <c r="D7" s="54"/>
      <c r="E7" s="54"/>
      <c r="F7" s="443" t="s">
        <v>400</v>
      </c>
      <c r="G7" s="54"/>
      <c r="H7" s="54"/>
      <c r="I7" s="351"/>
      <c r="J7" s="5"/>
      <c r="K7" s="256">
        <v>4</v>
      </c>
      <c r="L7" s="5" t="s">
        <v>486</v>
      </c>
      <c r="T7" s="439"/>
      <c r="V7" s="440" t="s">
        <v>495</v>
      </c>
      <c r="W7" s="441">
        <v>0</v>
      </c>
      <c r="X7" s="441">
        <v>0</v>
      </c>
      <c r="Y7" s="441">
        <v>268</v>
      </c>
      <c r="Z7" s="441">
        <v>1280</v>
      </c>
      <c r="AA7" s="441">
        <v>510</v>
      </c>
      <c r="AB7" s="441">
        <v>132</v>
      </c>
      <c r="AC7" s="441">
        <v>0</v>
      </c>
      <c r="AD7" s="445">
        <f t="shared" si="0"/>
        <v>2190</v>
      </c>
    </row>
    <row r="8" spans="1:30" x14ac:dyDescent="0.25">
      <c r="B8" s="54"/>
      <c r="C8" s="54"/>
      <c r="D8" s="54"/>
      <c r="E8" s="54"/>
      <c r="F8" s="54"/>
      <c r="G8" s="54"/>
      <c r="H8" s="54"/>
      <c r="I8" s="350"/>
      <c r="J8" s="5"/>
      <c r="K8" s="256">
        <v>5</v>
      </c>
      <c r="L8" s="5" t="s">
        <v>234</v>
      </c>
      <c r="T8" s="439"/>
      <c r="V8" s="440" t="s">
        <v>496</v>
      </c>
      <c r="W8" s="441">
        <v>0</v>
      </c>
      <c r="X8" s="441">
        <v>0</v>
      </c>
      <c r="Y8" s="441">
        <v>640</v>
      </c>
      <c r="Z8" s="441">
        <v>0</v>
      </c>
      <c r="AA8" s="441">
        <v>0</v>
      </c>
      <c r="AB8" s="441">
        <v>0</v>
      </c>
      <c r="AC8" s="441">
        <v>0</v>
      </c>
      <c r="AD8" s="445">
        <f t="shared" si="0"/>
        <v>640</v>
      </c>
    </row>
    <row r="9" spans="1:30" x14ac:dyDescent="0.25">
      <c r="B9" s="355" t="s">
        <v>103</v>
      </c>
      <c r="C9" s="355" t="s">
        <v>497</v>
      </c>
      <c r="D9" s="54"/>
      <c r="E9" s="54"/>
      <c r="F9" s="54"/>
      <c r="G9" s="54"/>
      <c r="H9" s="54"/>
      <c r="I9" s="350"/>
      <c r="J9" s="5"/>
      <c r="K9" s="256">
        <v>6</v>
      </c>
      <c r="L9" s="5" t="s">
        <v>348</v>
      </c>
      <c r="T9" s="439"/>
      <c r="V9" s="440" t="s">
        <v>498</v>
      </c>
      <c r="W9" s="441">
        <v>0</v>
      </c>
      <c r="X9" s="441">
        <v>0</v>
      </c>
      <c r="Y9" s="441">
        <v>0</v>
      </c>
      <c r="Z9" s="441">
        <v>50</v>
      </c>
      <c r="AA9" s="441">
        <v>0</v>
      </c>
      <c r="AB9" s="441">
        <v>0</v>
      </c>
      <c r="AC9" s="441">
        <v>77</v>
      </c>
      <c r="AD9" s="445">
        <f t="shared" si="0"/>
        <v>127</v>
      </c>
    </row>
    <row r="10" spans="1:30" x14ac:dyDescent="0.25">
      <c r="B10" s="355"/>
      <c r="C10" s="54" t="s">
        <v>499</v>
      </c>
      <c r="D10" s="54"/>
      <c r="E10" s="54"/>
      <c r="F10" s="447" t="s">
        <v>500</v>
      </c>
      <c r="G10" s="54"/>
      <c r="H10" s="54"/>
      <c r="I10" s="348"/>
      <c r="J10" s="5"/>
      <c r="K10" s="256">
        <v>7</v>
      </c>
      <c r="L10" s="5" t="s">
        <v>487</v>
      </c>
      <c r="T10" s="439"/>
      <c r="V10" s="440" t="s">
        <v>501</v>
      </c>
      <c r="W10" s="441">
        <v>1388</v>
      </c>
      <c r="X10" s="441">
        <v>283</v>
      </c>
      <c r="Y10" s="441">
        <v>1771</v>
      </c>
      <c r="Z10" s="441">
        <v>733</v>
      </c>
      <c r="AA10" s="441">
        <v>1321</v>
      </c>
      <c r="AB10" s="441">
        <v>907</v>
      </c>
      <c r="AC10" s="441">
        <v>322</v>
      </c>
      <c r="AD10" s="445">
        <f t="shared" si="0"/>
        <v>6725</v>
      </c>
    </row>
    <row r="11" spans="1:30" x14ac:dyDescent="0.25">
      <c r="B11" s="355"/>
      <c r="C11" s="54" t="s">
        <v>502</v>
      </c>
      <c r="D11" s="54"/>
      <c r="E11" s="54"/>
      <c r="F11" s="447" t="s">
        <v>503</v>
      </c>
      <c r="G11" s="54"/>
      <c r="H11" s="54"/>
      <c r="I11" s="350" t="s">
        <v>504</v>
      </c>
      <c r="J11" s="5"/>
      <c r="K11" s="256">
        <v>8</v>
      </c>
      <c r="L11" s="5" t="s">
        <v>232</v>
      </c>
      <c r="T11" s="439"/>
      <c r="V11" s="440" t="s">
        <v>506</v>
      </c>
      <c r="W11" s="441">
        <v>0</v>
      </c>
      <c r="X11" s="441">
        <v>0</v>
      </c>
      <c r="Y11" s="441">
        <v>0</v>
      </c>
      <c r="Z11" s="441">
        <v>0</v>
      </c>
      <c r="AA11" s="441">
        <v>0</v>
      </c>
      <c r="AB11" s="441">
        <v>519</v>
      </c>
      <c r="AC11" s="441">
        <v>0</v>
      </c>
      <c r="AD11" s="445">
        <f t="shared" si="0"/>
        <v>519</v>
      </c>
    </row>
    <row r="12" spans="1:30" x14ac:dyDescent="0.25">
      <c r="B12" s="355"/>
      <c r="C12" s="54" t="s">
        <v>507</v>
      </c>
      <c r="D12" s="54"/>
      <c r="E12" s="54"/>
      <c r="F12" s="447" t="s">
        <v>508</v>
      </c>
      <c r="G12" s="54"/>
      <c r="H12" s="54"/>
      <c r="I12" s="350"/>
      <c r="J12" s="5"/>
      <c r="K12" s="256">
        <v>9</v>
      </c>
      <c r="L12" s="5" t="s">
        <v>505</v>
      </c>
      <c r="T12" s="439"/>
      <c r="V12" s="440" t="s">
        <v>510</v>
      </c>
      <c r="W12" s="441">
        <v>50</v>
      </c>
      <c r="X12" s="441">
        <v>0</v>
      </c>
      <c r="Y12" s="441">
        <v>83</v>
      </c>
      <c r="Z12" s="441">
        <v>113</v>
      </c>
      <c r="AA12" s="441">
        <v>0</v>
      </c>
      <c r="AB12" s="441">
        <v>457</v>
      </c>
      <c r="AC12" s="441">
        <v>30</v>
      </c>
      <c r="AD12" s="445">
        <f t="shared" si="0"/>
        <v>733</v>
      </c>
    </row>
    <row r="13" spans="1:30" x14ac:dyDescent="0.25">
      <c r="B13" s="355"/>
      <c r="C13" s="54" t="s">
        <v>511</v>
      </c>
      <c r="D13" s="54"/>
      <c r="E13" s="54"/>
      <c r="F13" s="447" t="s">
        <v>512</v>
      </c>
      <c r="G13" s="54"/>
      <c r="H13" s="54"/>
      <c r="I13" s="350"/>
      <c r="J13" s="5"/>
      <c r="K13" s="258" t="s">
        <v>509</v>
      </c>
      <c r="L13" s="448" t="str">
        <f>INDEX(L4:L12,MATCH(C35,K4:K12,0))</f>
        <v>Tas</v>
      </c>
      <c r="M13" s="354"/>
      <c r="N13" s="354"/>
      <c r="O13" s="354"/>
      <c r="P13" s="354"/>
      <c r="Q13" s="354"/>
      <c r="R13" s="354"/>
      <c r="S13" s="354"/>
      <c r="T13" s="449"/>
      <c r="V13" s="440" t="s">
        <v>513</v>
      </c>
      <c r="W13" s="441">
        <v>0</v>
      </c>
      <c r="X13" s="441">
        <v>0</v>
      </c>
      <c r="Y13" s="441">
        <v>586</v>
      </c>
      <c r="Z13" s="441">
        <v>0</v>
      </c>
      <c r="AA13" s="441">
        <v>0</v>
      </c>
      <c r="AB13" s="441">
        <v>0</v>
      </c>
      <c r="AC13" s="441">
        <v>0</v>
      </c>
      <c r="AD13" s="445">
        <f t="shared" si="0"/>
        <v>586</v>
      </c>
    </row>
    <row r="14" spans="1:30" x14ac:dyDescent="0.25">
      <c r="B14" s="355"/>
      <c r="C14" s="356"/>
      <c r="D14" s="54"/>
      <c r="E14" s="54"/>
      <c r="F14" s="54"/>
      <c r="G14" s="54"/>
      <c r="H14" s="54"/>
      <c r="I14" s="350"/>
      <c r="J14" s="5"/>
      <c r="V14" s="440" t="s">
        <v>514</v>
      </c>
      <c r="W14" s="441">
        <v>595</v>
      </c>
      <c r="X14" s="441">
        <v>208</v>
      </c>
      <c r="Y14" s="441">
        <v>680</v>
      </c>
      <c r="Z14" s="441">
        <v>663</v>
      </c>
      <c r="AA14" s="441">
        <v>0</v>
      </c>
      <c r="AB14" s="441">
        <v>215</v>
      </c>
      <c r="AC14" s="441">
        <v>131</v>
      </c>
      <c r="AD14" s="445">
        <f t="shared" si="0"/>
        <v>2492</v>
      </c>
    </row>
    <row r="15" spans="1:30" x14ac:dyDescent="0.25">
      <c r="B15" s="355" t="s">
        <v>103</v>
      </c>
      <c r="C15" s="452">
        <f>(C5*C6*C7)*10^-3</f>
        <v>0</v>
      </c>
      <c r="D15" s="54"/>
      <c r="E15" s="54"/>
      <c r="F15" s="355" t="s">
        <v>353</v>
      </c>
      <c r="G15" s="54"/>
      <c r="H15" s="54"/>
      <c r="I15" s="350"/>
      <c r="J15" s="5"/>
      <c r="K15" s="450" t="s">
        <v>364</v>
      </c>
      <c r="L15" s="451"/>
      <c r="M15" s="451"/>
      <c r="N15" s="451"/>
      <c r="O15" s="352"/>
      <c r="P15" s="259"/>
      <c r="Q15" s="352"/>
      <c r="R15" s="352"/>
      <c r="S15" s="352"/>
      <c r="T15" s="434"/>
      <c r="V15" s="440" t="s">
        <v>515</v>
      </c>
      <c r="W15" s="441">
        <v>0</v>
      </c>
      <c r="X15" s="441">
        <v>0</v>
      </c>
      <c r="Y15" s="441">
        <v>0</v>
      </c>
      <c r="Z15" s="441">
        <v>0</v>
      </c>
      <c r="AA15" s="441">
        <v>0</v>
      </c>
      <c r="AB15" s="441">
        <v>1395</v>
      </c>
      <c r="AC15" s="441">
        <v>0</v>
      </c>
      <c r="AD15" s="445">
        <f t="shared" si="0"/>
        <v>1395</v>
      </c>
    </row>
    <row r="16" spans="1:30" x14ac:dyDescent="0.25">
      <c r="B16" s="54"/>
      <c r="C16" s="357"/>
      <c r="D16" s="54"/>
      <c r="E16" s="54"/>
      <c r="F16" s="54"/>
      <c r="G16" s="54"/>
      <c r="H16" s="54"/>
      <c r="I16" s="348"/>
      <c r="J16" s="5"/>
      <c r="K16" s="453">
        <v>1</v>
      </c>
      <c r="L16" s="224" t="s">
        <v>365</v>
      </c>
      <c r="M16" s="224"/>
      <c r="N16" s="224"/>
      <c r="P16" s="5"/>
      <c r="T16" s="439"/>
      <c r="V16" s="440" t="s">
        <v>6</v>
      </c>
      <c r="W16" s="441">
        <f t="shared" ref="W16:AD16" si="1">SUM(W5:W15)</f>
        <v>13830</v>
      </c>
      <c r="X16" s="441">
        <f>SUM(X5:X15)</f>
        <v>491</v>
      </c>
      <c r="Y16" s="441">
        <f>SUM(Y5:Y15)</f>
        <v>5773</v>
      </c>
      <c r="Z16" s="441">
        <f>SUM(Z5:Z15)</f>
        <v>3619</v>
      </c>
      <c r="AA16" s="441">
        <f>SUM(AA5:AA15)</f>
        <v>8386</v>
      </c>
      <c r="AB16" s="441">
        <f>SUM(AB5:AB15)</f>
        <v>12430</v>
      </c>
      <c r="AC16" s="441">
        <f t="shared" si="1"/>
        <v>560</v>
      </c>
      <c r="AD16" s="445">
        <f t="shared" si="1"/>
        <v>45089</v>
      </c>
    </row>
    <row r="17" spans="1:30" ht="18.75" x14ac:dyDescent="0.3">
      <c r="B17" s="426" t="s">
        <v>214</v>
      </c>
      <c r="C17" s="357"/>
      <c r="D17" s="54"/>
      <c r="E17" s="54"/>
      <c r="F17" s="54"/>
      <c r="G17" s="54"/>
      <c r="H17" s="54"/>
      <c r="I17" s="348"/>
      <c r="J17" s="5"/>
      <c r="K17" s="454">
        <v>2</v>
      </c>
      <c r="L17" s="455" t="s">
        <v>366</v>
      </c>
      <c r="M17" s="455"/>
      <c r="N17" s="455"/>
      <c r="O17" s="354"/>
      <c r="P17" s="266"/>
      <c r="Q17" s="354"/>
      <c r="R17" s="354"/>
      <c r="S17" s="354"/>
      <c r="T17" s="449"/>
      <c r="V17" s="440"/>
      <c r="W17" s="441"/>
      <c r="X17" s="441"/>
      <c r="Y17" s="441"/>
      <c r="Z17" s="441"/>
      <c r="AA17" s="441"/>
      <c r="AB17" s="441"/>
      <c r="AC17" s="441"/>
      <c r="AD17" s="445"/>
    </row>
    <row r="18" spans="1:30" x14ac:dyDescent="0.25">
      <c r="B18" s="355" t="s">
        <v>7</v>
      </c>
      <c r="C18" s="357"/>
      <c r="D18" s="54"/>
      <c r="E18" s="54"/>
      <c r="F18" s="355" t="s">
        <v>24</v>
      </c>
      <c r="G18" s="54"/>
      <c r="H18" s="54"/>
      <c r="I18" s="348"/>
      <c r="J18" s="5"/>
      <c r="V18" s="440" t="s">
        <v>517</v>
      </c>
      <c r="W18" s="441"/>
      <c r="X18" s="441"/>
      <c r="Y18" s="441"/>
      <c r="Z18" s="441"/>
      <c r="AA18" s="441"/>
      <c r="AB18" s="441"/>
      <c r="AC18" s="441"/>
      <c r="AD18" s="445"/>
    </row>
    <row r="19" spans="1:30" x14ac:dyDescent="0.25">
      <c r="B19" s="54" t="s">
        <v>356</v>
      </c>
      <c r="C19" s="357">
        <f>'Data input'!$D$86*10^-3</f>
        <v>0</v>
      </c>
      <c r="D19" s="54"/>
      <c r="E19" s="54"/>
      <c r="F19" s="443" t="s">
        <v>489</v>
      </c>
      <c r="G19" s="54"/>
      <c r="H19" s="54"/>
      <c r="I19" s="348"/>
      <c r="J19" s="5"/>
      <c r="K19" s="255" t="s">
        <v>516</v>
      </c>
      <c r="L19" s="352"/>
      <c r="M19" s="352"/>
      <c r="N19" s="352"/>
      <c r="O19" s="352"/>
      <c r="P19" s="352"/>
      <c r="Q19" s="352"/>
      <c r="R19" s="352"/>
      <c r="S19" s="352"/>
      <c r="T19" s="434"/>
      <c r="V19" s="440" t="s">
        <v>352</v>
      </c>
      <c r="W19" s="441" t="s">
        <v>485</v>
      </c>
      <c r="X19" s="441" t="s">
        <v>347</v>
      </c>
      <c r="Y19" s="441" t="s">
        <v>486</v>
      </c>
      <c r="Z19" s="441" t="s">
        <v>234</v>
      </c>
      <c r="AA19" s="441" t="s">
        <v>348</v>
      </c>
      <c r="AB19" s="441" t="s">
        <v>487</v>
      </c>
      <c r="AC19" s="441" t="s">
        <v>488</v>
      </c>
      <c r="AD19" s="442" t="s">
        <v>6</v>
      </c>
    </row>
    <row r="20" spans="1:30" x14ac:dyDescent="0.25">
      <c r="B20" s="54" t="s">
        <v>492</v>
      </c>
      <c r="C20" s="357">
        <v>25.7</v>
      </c>
      <c r="D20" s="54"/>
      <c r="E20" s="54"/>
      <c r="F20" s="443" t="s">
        <v>398</v>
      </c>
      <c r="G20" s="54"/>
      <c r="H20" s="54"/>
      <c r="I20" s="444" t="s">
        <v>490</v>
      </c>
      <c r="J20" s="5"/>
      <c r="K20" s="353"/>
      <c r="L20" s="456" t="s">
        <v>350</v>
      </c>
      <c r="M20" s="456" t="s">
        <v>351</v>
      </c>
      <c r="N20" s="456" t="s">
        <v>214</v>
      </c>
      <c r="O20" s="457" t="s">
        <v>518</v>
      </c>
      <c r="P20" s="456" t="s">
        <v>352</v>
      </c>
      <c r="T20" s="439"/>
      <c r="V20" s="440" t="s">
        <v>519</v>
      </c>
      <c r="W20" s="441">
        <v>4677</v>
      </c>
      <c r="X20" s="441">
        <v>2316</v>
      </c>
      <c r="Y20" s="441">
        <v>30</v>
      </c>
      <c r="Z20" s="441">
        <v>4</v>
      </c>
      <c r="AA20" s="441">
        <v>803</v>
      </c>
      <c r="AB20" s="441">
        <v>669</v>
      </c>
      <c r="AC20" s="441">
        <v>0</v>
      </c>
      <c r="AD20" s="445">
        <f t="shared" ref="AD20:AD26" si="2">SUM(W20:AC20)</f>
        <v>8499</v>
      </c>
    </row>
    <row r="21" spans="1:30" x14ac:dyDescent="0.25">
      <c r="B21" s="54" t="s">
        <v>357</v>
      </c>
      <c r="C21" s="446">
        <v>60.2</v>
      </c>
      <c r="D21" s="54"/>
      <c r="E21" s="54"/>
      <c r="F21" s="443" t="s">
        <v>400</v>
      </c>
      <c r="G21" s="54"/>
      <c r="H21" s="54"/>
      <c r="I21" s="350" t="s">
        <v>490</v>
      </c>
      <c r="J21" s="5"/>
      <c r="K21" s="353" t="s">
        <v>230</v>
      </c>
      <c r="L21" s="458">
        <f>L22</f>
        <v>0.93497497279651798</v>
      </c>
      <c r="M21" s="458">
        <f t="shared" ref="M21:P21" si="3">M22</f>
        <v>0</v>
      </c>
      <c r="N21" s="458">
        <f t="shared" si="3"/>
        <v>0.51919648397104445</v>
      </c>
      <c r="O21" s="458">
        <f t="shared" si="3"/>
        <v>0.89600000000000002</v>
      </c>
      <c r="P21" s="458">
        <f t="shared" si="3"/>
        <v>0</v>
      </c>
      <c r="T21" s="439"/>
      <c r="V21" s="440" t="s">
        <v>520</v>
      </c>
      <c r="W21" s="441">
        <v>234</v>
      </c>
      <c r="X21" s="441">
        <v>142</v>
      </c>
      <c r="Y21" s="441">
        <v>204</v>
      </c>
      <c r="Z21" s="441">
        <v>1151</v>
      </c>
      <c r="AA21" s="441">
        <v>432</v>
      </c>
      <c r="AB21" s="441">
        <v>12</v>
      </c>
      <c r="AC21" s="441">
        <v>0</v>
      </c>
      <c r="AD21" s="445">
        <f t="shared" si="2"/>
        <v>2175</v>
      </c>
    </row>
    <row r="22" spans="1:30" x14ac:dyDescent="0.25">
      <c r="B22" s="54"/>
      <c r="C22" s="54"/>
      <c r="D22" s="54"/>
      <c r="E22" s="54"/>
      <c r="F22" s="54"/>
      <c r="G22" s="54"/>
      <c r="H22" s="54"/>
      <c r="I22" s="350"/>
      <c r="J22" s="5"/>
      <c r="K22" s="256" t="s">
        <v>231</v>
      </c>
      <c r="L22" s="458">
        <f>((N50*O50)+(N59*O59)+(N60*O60)+(N61*O61)+(N62*O62)+(N70*O70)+(N71*O71))/(O50+O59+O60+O61+O62+O70+O71)</f>
        <v>0.93497497279651798</v>
      </c>
      <c r="M22" s="458">
        <v>0</v>
      </c>
      <c r="N22" s="458">
        <f>((N53*O53)+(N64*O64)+(N65*O65)+(N69*O69))/(O53+O64+O65+O69)</f>
        <v>0.51919648397104445</v>
      </c>
      <c r="O22" s="347">
        <f>((N58*O58))/O58</f>
        <v>0.89600000000000002</v>
      </c>
      <c r="P22" s="458">
        <v>0</v>
      </c>
      <c r="T22" s="439"/>
      <c r="V22" s="440" t="s">
        <v>521</v>
      </c>
      <c r="W22" s="441">
        <v>166</v>
      </c>
      <c r="X22" s="441">
        <v>5</v>
      </c>
      <c r="Y22" s="441">
        <v>33</v>
      </c>
      <c r="Z22" s="441">
        <v>20</v>
      </c>
      <c r="AA22" s="441">
        <v>113</v>
      </c>
      <c r="AB22" s="441">
        <v>429</v>
      </c>
      <c r="AC22" s="441">
        <v>1</v>
      </c>
      <c r="AD22" s="445">
        <f t="shared" si="2"/>
        <v>767</v>
      </c>
    </row>
    <row r="23" spans="1:30" x14ac:dyDescent="0.25">
      <c r="B23" s="355" t="s">
        <v>103</v>
      </c>
      <c r="C23" s="355" t="s">
        <v>497</v>
      </c>
      <c r="D23" s="54"/>
      <c r="E23" s="54"/>
      <c r="F23" s="54"/>
      <c r="G23" s="54"/>
      <c r="H23" s="54"/>
      <c r="I23" s="351"/>
      <c r="J23" s="5"/>
      <c r="K23" s="256" t="s">
        <v>347</v>
      </c>
      <c r="L23" s="458">
        <v>0</v>
      </c>
      <c r="M23" s="458">
        <v>0</v>
      </c>
      <c r="N23" s="458">
        <f>((N124*O124)+(N125*O125)+(N139*O139)+(N140*O140))/(O124+O125+O139+O140)</f>
        <v>0.55760517799352749</v>
      </c>
      <c r="O23" s="347">
        <v>0</v>
      </c>
      <c r="P23" s="458">
        <v>0</v>
      </c>
      <c r="T23" s="439"/>
      <c r="V23" s="440" t="s">
        <v>522</v>
      </c>
      <c r="W23" s="441">
        <v>328</v>
      </c>
      <c r="X23" s="441">
        <v>8</v>
      </c>
      <c r="Y23" s="441">
        <v>141</v>
      </c>
      <c r="Z23" s="441">
        <v>130</v>
      </c>
      <c r="AA23" s="441">
        <v>152</v>
      </c>
      <c r="AB23" s="441">
        <v>256</v>
      </c>
      <c r="AC23" s="441">
        <v>6</v>
      </c>
      <c r="AD23" s="445">
        <f t="shared" si="2"/>
        <v>1021</v>
      </c>
    </row>
    <row r="24" spans="1:30" x14ac:dyDescent="0.25">
      <c r="B24" s="54"/>
      <c r="C24" s="54" t="s">
        <v>499</v>
      </c>
      <c r="D24" s="54"/>
      <c r="E24" s="54"/>
      <c r="F24" s="54" t="s">
        <v>500</v>
      </c>
      <c r="G24" s="54"/>
      <c r="H24" s="54"/>
      <c r="I24" s="348"/>
      <c r="J24" s="5"/>
      <c r="K24" s="256" t="s">
        <v>486</v>
      </c>
      <c r="L24" s="458">
        <f>((N172*O172)+(N177*O177)+(N190*O190)+(N191*O191)+(N192*O192)+(N208*O208))/(O172+O177+O190+O191+O192+O208)</f>
        <v>0.98488692390139332</v>
      </c>
      <c r="M24" s="458">
        <v>0</v>
      </c>
      <c r="N24" s="458">
        <f>((N169*O169)+(N170*O170)+(N171*O171)+(N173*O173)+(N175*O175)+(N183*O183)+(N184*O184)+(N185*O185)+(N186*O186)+(N187*O187)+(N189*O189)+(N194*O194)+(N196*O196)+(N197*O197)+(N198*O198)+(N199*O199)+(N200*O200)+(N201*O201)+(N202*O202)+(N204*O204)+(N207*O207)+(N209*O209))/(O169+O170+O171+O173+O175+O183+O184+O185+O186+O187+O188+O189+O194+O196+O197+O198+O199+O200+O201+O202+O204+O207+O209)</f>
        <v>0.53947935779816514</v>
      </c>
      <c r="O24" s="347">
        <f>((N179*O179)+(N182*O182)+(N188*O188)+(N195*O195)+(N203*O203)+(N205*O205))/(O179+O182+O188+O195+O203+O205)</f>
        <v>0.75091263940520447</v>
      </c>
      <c r="P24" s="458">
        <v>0</v>
      </c>
      <c r="T24" s="439"/>
      <c r="V24" s="440" t="s">
        <v>523</v>
      </c>
      <c r="W24" s="441">
        <v>3</v>
      </c>
      <c r="X24" s="441">
        <v>0</v>
      </c>
      <c r="Y24" s="441">
        <v>0</v>
      </c>
      <c r="Z24" s="441">
        <v>0</v>
      </c>
      <c r="AA24" s="441">
        <v>0</v>
      </c>
      <c r="AB24" s="441">
        <v>0</v>
      </c>
      <c r="AC24" s="441">
        <v>0</v>
      </c>
      <c r="AD24" s="445">
        <f t="shared" si="2"/>
        <v>3</v>
      </c>
    </row>
    <row r="25" spans="1:30" x14ac:dyDescent="0.25">
      <c r="B25" s="54"/>
      <c r="C25" s="54" t="s">
        <v>502</v>
      </c>
      <c r="D25" s="54"/>
      <c r="E25" s="54"/>
      <c r="F25" s="54" t="s">
        <v>503</v>
      </c>
      <c r="G25" s="54"/>
      <c r="H25" s="54"/>
      <c r="I25" s="350" t="s">
        <v>504</v>
      </c>
      <c r="J25" s="5"/>
      <c r="K25" s="256" t="s">
        <v>234</v>
      </c>
      <c r="L25" s="458">
        <v>0</v>
      </c>
      <c r="M25" s="458">
        <f>((N111*O111)+(N114*O114))/(O111+O114)</f>
        <v>1.1080762155059132</v>
      </c>
      <c r="N25" s="458">
        <f>((N102*O102)+(N103*O103)+(N106*O106)+(N109*O109)+(N112*O112)+(N113*O113)+(N116*O116)+(N120*O120)+(N121*O121))/(O102+O103+O106+O109+O112+O113+O116+O120+O121)</f>
        <v>0.58724116114625979</v>
      </c>
      <c r="O25" s="347">
        <f>((N99*O99)+(N115*O115)+(N119*O119))/(O99+O115+O119)</f>
        <v>0.94</v>
      </c>
      <c r="P25" s="458">
        <v>0</v>
      </c>
      <c r="T25" s="439"/>
      <c r="V25" s="440" t="s">
        <v>524</v>
      </c>
      <c r="W25" s="441">
        <v>0</v>
      </c>
      <c r="X25" s="441">
        <v>0</v>
      </c>
      <c r="Y25" s="441">
        <v>0</v>
      </c>
      <c r="Z25" s="441">
        <v>0</v>
      </c>
      <c r="AA25" s="441">
        <v>0</v>
      </c>
      <c r="AB25" s="441">
        <v>0.1</v>
      </c>
      <c r="AC25" s="441">
        <v>0</v>
      </c>
      <c r="AD25" s="445">
        <f t="shared" si="2"/>
        <v>0.1</v>
      </c>
    </row>
    <row r="26" spans="1:30" x14ac:dyDescent="0.25">
      <c r="B26" s="54"/>
      <c r="C26" s="54" t="s">
        <v>507</v>
      </c>
      <c r="D26" s="54"/>
      <c r="E26" s="54"/>
      <c r="F26" s="54" t="s">
        <v>508</v>
      </c>
      <c r="G26" s="54"/>
      <c r="H26" s="54"/>
      <c r="I26" s="348"/>
      <c r="J26" s="5"/>
      <c r="K26" s="256" t="s">
        <v>348</v>
      </c>
      <c r="L26" s="458">
        <v>0</v>
      </c>
      <c r="M26" s="458">
        <f>((N145*O145)+(N149*O149)+(N150*O150)+(N155*O155)+(N156*O156)+(N167*O167))/(O145+O149+O150+O155+O156+O167)</f>
        <v>1.3451901522992755</v>
      </c>
      <c r="N26" s="458">
        <f>((N146*O146)+(N152*O152)+(N153*O153)+(N154*O154)+(N159*O159)+(N162*O162)+(N164*O164)+(N165*O165))/(O146+O152+O153+O154+O159+O162+O164+O165)</f>
        <v>0.65778367177786989</v>
      </c>
      <c r="O26" s="347">
        <v>0</v>
      </c>
      <c r="P26" s="458">
        <v>0</v>
      </c>
      <c r="T26" s="439"/>
      <c r="V26" s="440" t="s">
        <v>525</v>
      </c>
      <c r="W26" s="441">
        <v>0</v>
      </c>
      <c r="X26" s="441">
        <v>0</v>
      </c>
      <c r="Y26" s="441">
        <v>0.1</v>
      </c>
      <c r="Z26" s="441">
        <v>0</v>
      </c>
      <c r="AA26" s="441">
        <v>0.2</v>
      </c>
      <c r="AB26" s="441">
        <v>0</v>
      </c>
      <c r="AC26" s="441">
        <v>0</v>
      </c>
      <c r="AD26" s="445">
        <f t="shared" si="2"/>
        <v>0.30000000000000004</v>
      </c>
    </row>
    <row r="27" spans="1:30" x14ac:dyDescent="0.25">
      <c r="B27" s="54"/>
      <c r="C27" s="54" t="s">
        <v>511</v>
      </c>
      <c r="D27" s="54"/>
      <c r="E27" s="54"/>
      <c r="F27" s="54" t="s">
        <v>512</v>
      </c>
      <c r="G27" s="54"/>
      <c r="H27" s="54"/>
      <c r="I27" s="348"/>
      <c r="J27" s="5"/>
      <c r="K27" s="256" t="s">
        <v>487</v>
      </c>
      <c r="L27" s="458">
        <f>((N77*O77)+(N78*O78)+(N79*O79)+(N82*O82)+(N84*O84)+(N86*O86)+(N90*O90)+(N91*O91)+(N93*O93)+(N94*O94))/(O77+O78+O79+O82+O84+O86+O90+O91+O93+O94)</f>
        <v>0.92733371454711799</v>
      </c>
      <c r="M27" s="458">
        <v>0</v>
      </c>
      <c r="N27" s="458">
        <f>((N73*O73)+(N75*O75)+(N76*O76)+(N80*O80)+(N81*O81)+(N88*O88)+(N89*O89)+(N92*O92)+(N95*O95)+(N98*O98))/(O73+O75+O76+O80+O81+O88+O89+O92+O95+O98)</f>
        <v>0.50054060482500851</v>
      </c>
      <c r="O27" s="347">
        <f>((N85*O85)+(N87*O87))/(O85+O87)</f>
        <v>0.8405132743362832</v>
      </c>
      <c r="P27" s="458">
        <v>0</v>
      </c>
      <c r="T27" s="439"/>
      <c r="V27" s="440" t="s">
        <v>526</v>
      </c>
      <c r="W27" s="441">
        <f t="shared" ref="W27:AB27" si="4">SUM(W20:W26)</f>
        <v>5408</v>
      </c>
      <c r="X27" s="441">
        <f t="shared" si="4"/>
        <v>2471</v>
      </c>
      <c r="Y27" s="441">
        <f t="shared" si="4"/>
        <v>408.1</v>
      </c>
      <c r="Z27" s="441">
        <f t="shared" si="4"/>
        <v>1305</v>
      </c>
      <c r="AA27" s="441">
        <f t="shared" si="4"/>
        <v>1500.2</v>
      </c>
      <c r="AB27" s="441">
        <f t="shared" si="4"/>
        <v>1366.1</v>
      </c>
      <c r="AC27" s="441">
        <f t="shared" ref="AC27:AD27" si="5">SUM(AC20:AC26)</f>
        <v>7</v>
      </c>
      <c r="AD27" s="445">
        <f t="shared" si="5"/>
        <v>12465.4</v>
      </c>
    </row>
    <row r="28" spans="1:30" x14ac:dyDescent="0.25">
      <c r="A28" s="429"/>
      <c r="B28" s="54"/>
      <c r="C28" s="54"/>
      <c r="D28" s="54"/>
      <c r="E28" s="54"/>
      <c r="F28" s="54"/>
      <c r="G28" s="54"/>
      <c r="H28" s="54"/>
      <c r="I28" s="348"/>
      <c r="J28" s="5"/>
      <c r="K28" s="256" t="s">
        <v>232</v>
      </c>
      <c r="L28" s="458">
        <v>0</v>
      </c>
      <c r="M28" s="458">
        <v>0</v>
      </c>
      <c r="N28" s="458">
        <f>((N219*O219)+(N220*O220)+(N221*O221)+(N222*O222)+(N223*O223)+(N224*O224)+(N225*O225)+(N226*O226))/(O219+O220+O221+O222+O223+O224+O225+O226)</f>
        <v>0.52879687500000006</v>
      </c>
      <c r="O28" s="347">
        <f>N218</f>
        <v>1.0189999999999999</v>
      </c>
      <c r="P28" s="458">
        <v>0</v>
      </c>
      <c r="T28" s="439"/>
      <c r="V28" s="440"/>
      <c r="W28" s="441"/>
      <c r="X28" s="441"/>
      <c r="Y28" s="441"/>
      <c r="Z28" s="441"/>
      <c r="AA28" s="441"/>
      <c r="AB28" s="441"/>
      <c r="AC28" s="441"/>
      <c r="AD28" s="445"/>
    </row>
    <row r="29" spans="1:30" x14ac:dyDescent="0.25">
      <c r="A29" s="429"/>
      <c r="B29" s="355" t="s">
        <v>358</v>
      </c>
      <c r="C29" s="360">
        <f>(C19*C20*C21)*10^-3</f>
        <v>0</v>
      </c>
      <c r="D29" s="54"/>
      <c r="E29" s="54"/>
      <c r="F29" s="355" t="s">
        <v>353</v>
      </c>
      <c r="G29" s="54"/>
      <c r="H29" s="54"/>
      <c r="I29" s="348"/>
      <c r="J29" s="5"/>
      <c r="K29" s="256" t="s">
        <v>505</v>
      </c>
      <c r="L29" s="458">
        <v>0</v>
      </c>
      <c r="M29" s="458">
        <v>0</v>
      </c>
      <c r="N29" s="458">
        <f>((N210*O210)+(N211*O211)+(N212*O212)+(N213*O213)+(N214*O214)+(N215*O215)+(N217*O217))/(O210+O211+O212+O213+O214+O215+O217)</f>
        <v>0.50357318224740322</v>
      </c>
      <c r="O29" s="347">
        <f>N216</f>
        <v>0.84299999999999997</v>
      </c>
      <c r="P29" s="458">
        <v>0</v>
      </c>
      <c r="T29" s="439"/>
      <c r="V29" s="459" t="s">
        <v>528</v>
      </c>
      <c r="W29" s="441" t="s">
        <v>485</v>
      </c>
      <c r="X29" s="441" t="s">
        <v>347</v>
      </c>
      <c r="Y29" s="441" t="s">
        <v>486</v>
      </c>
      <c r="Z29" s="441" t="s">
        <v>234</v>
      </c>
      <c r="AA29" s="441" t="s">
        <v>348</v>
      </c>
      <c r="AB29" s="441" t="s">
        <v>487</v>
      </c>
      <c r="AC29" s="441" t="s">
        <v>488</v>
      </c>
      <c r="AD29" s="442" t="s">
        <v>6</v>
      </c>
    </row>
    <row r="30" spans="1:30" x14ac:dyDescent="0.25">
      <c r="A30" s="429"/>
      <c r="B30" s="54"/>
      <c r="C30" s="357"/>
      <c r="D30" s="54"/>
      <c r="E30" s="54"/>
      <c r="F30" s="54"/>
      <c r="G30" s="54"/>
      <c r="H30" s="54"/>
      <c r="I30" s="348"/>
      <c r="J30" s="5"/>
      <c r="K30" s="256" t="s">
        <v>527</v>
      </c>
      <c r="L30" s="458"/>
      <c r="M30" s="458"/>
      <c r="N30" s="458"/>
      <c r="P30" s="458"/>
      <c r="T30" s="439"/>
      <c r="V30" s="440" t="s">
        <v>350</v>
      </c>
      <c r="W30" s="441">
        <f t="shared" ref="W30:AD31" si="6">W5</f>
        <v>11797</v>
      </c>
      <c r="X30" s="441">
        <f t="shared" si="6"/>
        <v>0</v>
      </c>
      <c r="Y30" s="441">
        <f t="shared" si="6"/>
        <v>1745</v>
      </c>
      <c r="Z30" s="441">
        <f t="shared" si="6"/>
        <v>0</v>
      </c>
      <c r="AA30" s="441">
        <f t="shared" si="6"/>
        <v>0</v>
      </c>
      <c r="AB30" s="441">
        <f t="shared" si="6"/>
        <v>8805</v>
      </c>
      <c r="AC30" s="441">
        <f t="shared" si="6"/>
        <v>0</v>
      </c>
      <c r="AD30" s="445">
        <f t="shared" si="6"/>
        <v>22347</v>
      </c>
    </row>
    <row r="31" spans="1:30" ht="18.75" x14ac:dyDescent="0.3">
      <c r="A31" s="429"/>
      <c r="B31" s="426" t="s">
        <v>359</v>
      </c>
      <c r="C31" s="357"/>
      <c r="D31" s="54"/>
      <c r="E31" s="54"/>
      <c r="F31" s="54"/>
      <c r="G31" s="54"/>
      <c r="H31" s="54"/>
      <c r="I31" s="348"/>
      <c r="J31" s="5"/>
      <c r="K31" s="353"/>
      <c r="T31" s="439"/>
      <c r="V31" s="440" t="s">
        <v>351</v>
      </c>
      <c r="W31" s="441">
        <f t="shared" si="6"/>
        <v>0</v>
      </c>
      <c r="X31" s="441">
        <f t="shared" si="6"/>
        <v>0</v>
      </c>
      <c r="Y31" s="441">
        <f t="shared" si="6"/>
        <v>0</v>
      </c>
      <c r="Z31" s="441">
        <f t="shared" si="6"/>
        <v>780</v>
      </c>
      <c r="AA31" s="441">
        <f t="shared" si="6"/>
        <v>6555</v>
      </c>
      <c r="AB31" s="441">
        <f t="shared" si="6"/>
        <v>0</v>
      </c>
      <c r="AC31" s="441">
        <f t="shared" si="6"/>
        <v>0</v>
      </c>
      <c r="AD31" s="445">
        <f t="shared" si="6"/>
        <v>7335</v>
      </c>
    </row>
    <row r="32" spans="1:30" x14ac:dyDescent="0.25">
      <c r="B32" s="355" t="s">
        <v>7</v>
      </c>
      <c r="C32" s="357"/>
      <c r="D32" s="54"/>
      <c r="E32" s="54"/>
      <c r="F32" s="355" t="s">
        <v>24</v>
      </c>
      <c r="G32" s="54"/>
      <c r="H32" s="54"/>
      <c r="I32" s="348"/>
      <c r="J32" s="5"/>
      <c r="K32" s="353" t="s">
        <v>529</v>
      </c>
      <c r="T32" s="439"/>
      <c r="V32" s="440" t="s">
        <v>214</v>
      </c>
      <c r="W32" s="441">
        <f>SUM(W7,W10,W11,W14,W15)</f>
        <v>1983</v>
      </c>
      <c r="X32" s="441">
        <f t="shared" ref="X32:AD32" si="7">SUM(X7,X10,X11,X14,X15)</f>
        <v>491</v>
      </c>
      <c r="Y32" s="441">
        <f t="shared" si="7"/>
        <v>2719</v>
      </c>
      <c r="Z32" s="441">
        <f t="shared" si="7"/>
        <v>2676</v>
      </c>
      <c r="AA32" s="441">
        <f t="shared" si="7"/>
        <v>1831</v>
      </c>
      <c r="AB32" s="441">
        <f t="shared" si="7"/>
        <v>3168</v>
      </c>
      <c r="AC32" s="441">
        <f t="shared" si="7"/>
        <v>453</v>
      </c>
      <c r="AD32" s="445">
        <f t="shared" si="7"/>
        <v>13321</v>
      </c>
    </row>
    <row r="33" spans="2:30" x14ac:dyDescent="0.25">
      <c r="B33" s="54" t="s">
        <v>360</v>
      </c>
      <c r="C33" s="357">
        <f>'Data input'!D87</f>
        <v>0</v>
      </c>
      <c r="D33" s="54"/>
      <c r="E33" s="54"/>
      <c r="F33" s="54" t="s">
        <v>102</v>
      </c>
      <c r="G33" s="54"/>
      <c r="H33" s="54"/>
      <c r="I33" s="348"/>
      <c r="J33" s="5"/>
      <c r="K33" s="353"/>
      <c r="L33" s="6" t="s">
        <v>350</v>
      </c>
      <c r="M33" s="6" t="s">
        <v>351</v>
      </c>
      <c r="N33" s="6" t="s">
        <v>214</v>
      </c>
      <c r="O33" s="457" t="s">
        <v>518</v>
      </c>
      <c r="P33" s="457" t="s">
        <v>352</v>
      </c>
      <c r="T33" s="439"/>
      <c r="V33" s="460" t="s">
        <v>518</v>
      </c>
      <c r="W33" s="441">
        <f>W12</f>
        <v>50</v>
      </c>
      <c r="X33" s="441">
        <f t="shared" ref="X33:AD33" si="8">X12</f>
        <v>0</v>
      </c>
      <c r="Y33" s="441">
        <f t="shared" si="8"/>
        <v>83</v>
      </c>
      <c r="Z33" s="441">
        <f t="shared" si="8"/>
        <v>113</v>
      </c>
      <c r="AA33" s="441">
        <f t="shared" si="8"/>
        <v>0</v>
      </c>
      <c r="AB33" s="441">
        <f t="shared" si="8"/>
        <v>457</v>
      </c>
      <c r="AC33" s="441">
        <f t="shared" si="8"/>
        <v>30</v>
      </c>
      <c r="AD33" s="445">
        <f t="shared" si="8"/>
        <v>733</v>
      </c>
    </row>
    <row r="34" spans="2:30" x14ac:dyDescent="0.25">
      <c r="B34" s="54" t="s">
        <v>361</v>
      </c>
      <c r="C34" s="357">
        <f>C33/10^3</f>
        <v>0</v>
      </c>
      <c r="D34" s="54"/>
      <c r="E34" s="54"/>
      <c r="F34" s="54" t="s">
        <v>362</v>
      </c>
      <c r="G34" s="54"/>
      <c r="H34" s="54"/>
      <c r="I34" s="349"/>
      <c r="J34" s="5"/>
      <c r="K34" s="353" t="s">
        <v>230</v>
      </c>
      <c r="L34" s="347">
        <f>L35</f>
        <v>0.61321343174966214</v>
      </c>
      <c r="M34" s="347">
        <f t="shared" ref="M34:P34" si="9">M35</f>
        <v>0</v>
      </c>
      <c r="N34" s="347">
        <f t="shared" si="9"/>
        <v>0.1030772429566483</v>
      </c>
      <c r="O34" s="347">
        <f t="shared" si="9"/>
        <v>2.5990227674394426E-3</v>
      </c>
      <c r="P34" s="347">
        <f t="shared" si="9"/>
        <v>0.28111030252625013</v>
      </c>
      <c r="T34" s="439"/>
      <c r="V34" s="440" t="s">
        <v>352</v>
      </c>
      <c r="W34" s="441">
        <f t="shared" ref="W34:AD34" si="10">W27</f>
        <v>5408</v>
      </c>
      <c r="X34" s="441">
        <f t="shared" si="10"/>
        <v>2471</v>
      </c>
      <c r="Y34" s="441">
        <f t="shared" si="10"/>
        <v>408.1</v>
      </c>
      <c r="Z34" s="441">
        <f t="shared" si="10"/>
        <v>1305</v>
      </c>
      <c r="AA34" s="441">
        <f t="shared" si="10"/>
        <v>1500.2</v>
      </c>
      <c r="AB34" s="441">
        <f t="shared" si="10"/>
        <v>1366.1</v>
      </c>
      <c r="AC34" s="441">
        <f t="shared" si="10"/>
        <v>7</v>
      </c>
      <c r="AD34" s="445">
        <f t="shared" si="10"/>
        <v>12465.4</v>
      </c>
    </row>
    <row r="35" spans="2:30" x14ac:dyDescent="0.25">
      <c r="B35" s="54" t="s">
        <v>247</v>
      </c>
      <c r="C35" s="357">
        <f>'Data input'!E3</f>
        <v>3</v>
      </c>
      <c r="D35" s="54" t="str">
        <f>L13</f>
        <v>Tas</v>
      </c>
      <c r="E35" s="54"/>
      <c r="F35" s="54" t="s">
        <v>363</v>
      </c>
      <c r="G35" s="54"/>
      <c r="H35" s="54"/>
      <c r="I35" s="348"/>
      <c r="J35" s="5"/>
      <c r="K35" s="256" t="s">
        <v>231</v>
      </c>
      <c r="L35" s="347">
        <f>W30/W35</f>
        <v>0.61321343174966214</v>
      </c>
      <c r="M35" s="347">
        <v>0</v>
      </c>
      <c r="N35" s="347">
        <f>W32/W35</f>
        <v>0.1030772429566483</v>
      </c>
      <c r="O35" s="347">
        <f>W33/W35</f>
        <v>2.5990227674394426E-3</v>
      </c>
      <c r="P35" s="347">
        <f>W34/W35</f>
        <v>0.28111030252625013</v>
      </c>
      <c r="T35" s="439"/>
      <c r="V35" s="461" t="s">
        <v>6</v>
      </c>
      <c r="W35" s="462">
        <f t="shared" ref="W35:AD35" si="11">SUM(W30:W34)</f>
        <v>19238</v>
      </c>
      <c r="X35" s="462">
        <f t="shared" si="11"/>
        <v>2962</v>
      </c>
      <c r="Y35" s="462">
        <f t="shared" si="11"/>
        <v>4955.1000000000004</v>
      </c>
      <c r="Z35" s="462">
        <f t="shared" si="11"/>
        <v>4874</v>
      </c>
      <c r="AA35" s="462">
        <f t="shared" si="11"/>
        <v>9886.2000000000007</v>
      </c>
      <c r="AB35" s="462">
        <f t="shared" si="11"/>
        <v>13796.1</v>
      </c>
      <c r="AC35" s="462">
        <f t="shared" si="11"/>
        <v>490</v>
      </c>
      <c r="AD35" s="463">
        <f t="shared" si="11"/>
        <v>56201.4</v>
      </c>
    </row>
    <row r="36" spans="2:30" x14ac:dyDescent="0.25">
      <c r="B36" s="54" t="s">
        <v>367</v>
      </c>
      <c r="C36" s="357">
        <f>'Data input'!$D$83</f>
        <v>1</v>
      </c>
      <c r="D36" s="54" t="str">
        <f>INDEX(L16:L17,MATCH(C36,K16:K17,0))</f>
        <v>State Grid</v>
      </c>
      <c r="E36" s="54"/>
      <c r="F36" s="54"/>
      <c r="G36" s="54"/>
      <c r="H36" s="54"/>
      <c r="I36" s="348"/>
      <c r="J36" s="5"/>
      <c r="K36" s="256" t="s">
        <v>347</v>
      </c>
      <c r="L36" s="347">
        <v>0</v>
      </c>
      <c r="M36" s="347">
        <v>0</v>
      </c>
      <c r="N36" s="347">
        <f>X32/X35</f>
        <v>0.16576637407157327</v>
      </c>
      <c r="O36" s="347">
        <v>0</v>
      </c>
      <c r="P36" s="347">
        <f>X34/X35</f>
        <v>0.83423362592842676</v>
      </c>
      <c r="T36" s="439"/>
      <c r="V36" s="440"/>
      <c r="W36" s="441"/>
      <c r="X36" s="441"/>
      <c r="Y36" s="441"/>
      <c r="Z36" s="441"/>
      <c r="AA36" s="441"/>
      <c r="AB36" s="441"/>
      <c r="AC36" s="441"/>
      <c r="AD36" s="442"/>
    </row>
    <row r="37" spans="2:30" x14ac:dyDescent="0.25">
      <c r="B37" s="54" t="s">
        <v>530</v>
      </c>
      <c r="C37" s="357">
        <f>IF(C36=1,1,0)</f>
        <v>1</v>
      </c>
      <c r="D37" s="54"/>
      <c r="E37" s="54"/>
      <c r="F37" s="54"/>
      <c r="G37" s="54"/>
      <c r="H37" s="54"/>
      <c r="I37" s="348"/>
      <c r="K37" s="256" t="s">
        <v>486</v>
      </c>
      <c r="L37" s="347">
        <f>Y30/Y35</f>
        <v>0.35216241851829427</v>
      </c>
      <c r="M37" s="347">
        <v>0</v>
      </c>
      <c r="N37" s="347">
        <f>Y32/Y35</f>
        <v>0.54872757361102698</v>
      </c>
      <c r="O37" s="347">
        <f>Y33/Y35</f>
        <v>1.675041876046901E-2</v>
      </c>
      <c r="P37" s="347">
        <f>Y34/Y35</f>
        <v>8.2359589110209686E-2</v>
      </c>
      <c r="T37" s="439"/>
      <c r="V37" s="440"/>
      <c r="W37" s="441"/>
      <c r="X37" s="441"/>
      <c r="Y37" s="441"/>
      <c r="Z37" s="441"/>
      <c r="AA37" s="441"/>
      <c r="AB37" s="441"/>
      <c r="AC37" s="441"/>
      <c r="AD37" s="442"/>
    </row>
    <row r="38" spans="2:30" x14ac:dyDescent="0.25">
      <c r="B38" s="54"/>
      <c r="C38" s="54"/>
      <c r="D38" s="54"/>
      <c r="E38" s="54"/>
      <c r="F38" s="54"/>
      <c r="G38" s="54"/>
      <c r="H38" s="54"/>
      <c r="I38" s="348"/>
      <c r="K38" s="256" t="s">
        <v>234</v>
      </c>
      <c r="L38" s="347">
        <v>0</v>
      </c>
      <c r="M38" s="347">
        <f>Z31/Z35</f>
        <v>0.16003282724661469</v>
      </c>
      <c r="N38" s="347">
        <f>Z32/Z35</f>
        <v>0.54903569963069343</v>
      </c>
      <c r="O38" s="347">
        <f>Z33/Z35</f>
        <v>2.3184242921624947E-2</v>
      </c>
      <c r="P38" s="347">
        <f>Z34/Z35</f>
        <v>0.26774723020106689</v>
      </c>
      <c r="T38" s="439"/>
      <c r="V38" s="440"/>
      <c r="W38" s="441"/>
      <c r="X38" s="441"/>
      <c r="Y38" s="441"/>
      <c r="Z38" s="441"/>
      <c r="AA38" s="441"/>
      <c r="AB38" s="441"/>
      <c r="AC38" s="441"/>
      <c r="AD38" s="442"/>
    </row>
    <row r="39" spans="2:30" ht="15.6" customHeight="1" x14ac:dyDescent="0.25">
      <c r="B39" s="54" t="s">
        <v>368</v>
      </c>
      <c r="C39" s="54"/>
      <c r="D39" s="54"/>
      <c r="E39" s="54"/>
      <c r="F39" s="54"/>
      <c r="G39" s="54"/>
      <c r="H39" s="54"/>
      <c r="I39" s="348"/>
      <c r="K39" s="256" t="s">
        <v>348</v>
      </c>
      <c r="L39" s="347">
        <v>0</v>
      </c>
      <c r="M39" s="347">
        <f>AA31/AA35</f>
        <v>0.6630454573041209</v>
      </c>
      <c r="N39" s="347">
        <f>AA32/AA35</f>
        <v>0.18520766320729906</v>
      </c>
      <c r="O39" s="347">
        <v>0</v>
      </c>
      <c r="P39" s="347">
        <f>AA34/AA35</f>
        <v>0.15174687948858004</v>
      </c>
      <c r="T39" s="439"/>
      <c r="V39" s="440"/>
      <c r="W39" s="441"/>
      <c r="X39" s="441"/>
      <c r="Y39" s="441"/>
      <c r="Z39" s="441"/>
      <c r="AA39" s="441"/>
      <c r="AB39" s="441"/>
      <c r="AC39" s="441"/>
      <c r="AD39" s="442"/>
    </row>
    <row r="40" spans="2:30" ht="16.7" customHeight="1" x14ac:dyDescent="0.25">
      <c r="B40" s="54" t="s">
        <v>369</v>
      </c>
      <c r="C40" s="443" t="s">
        <v>531</v>
      </c>
      <c r="D40" s="443" t="s">
        <v>532</v>
      </c>
      <c r="E40" s="54"/>
      <c r="F40" s="54"/>
      <c r="G40" s="54"/>
      <c r="H40" s="54"/>
      <c r="I40" s="348"/>
      <c r="K40" s="256" t="s">
        <v>487</v>
      </c>
      <c r="L40" s="347">
        <f>AB30/AB35</f>
        <v>0.63822384586948488</v>
      </c>
      <c r="M40" s="347">
        <v>0</v>
      </c>
      <c r="N40" s="347">
        <f>AB32/AB35</f>
        <v>0.2296301128579816</v>
      </c>
      <c r="O40" s="347">
        <f>AB33/AB35</f>
        <v>3.3125303527808583E-2</v>
      </c>
      <c r="P40" s="347">
        <f>AB34/AB35</f>
        <v>9.9020737744724946E-2</v>
      </c>
      <c r="T40" s="439"/>
      <c r="V40" s="257" t="s">
        <v>534</v>
      </c>
      <c r="W40" s="464"/>
      <c r="X40" s="464"/>
      <c r="Y40" s="464"/>
      <c r="Z40" s="464"/>
      <c r="AA40" s="464"/>
      <c r="AB40" s="464"/>
      <c r="AC40" s="464"/>
      <c r="AD40" s="465"/>
    </row>
    <row r="41" spans="2:30" ht="16.7" customHeight="1" x14ac:dyDescent="0.25">
      <c r="B41" s="54" t="s">
        <v>350</v>
      </c>
      <c r="C41" s="466">
        <f>INDEX(L21:L29,MATCH(D35,K21:K29,0))</f>
        <v>0</v>
      </c>
      <c r="D41" s="466">
        <f>INDEX(L34:L42,MATCH(D35,K34:K42,0))</f>
        <v>0</v>
      </c>
      <c r="E41" s="54"/>
      <c r="F41" s="54" t="s">
        <v>535</v>
      </c>
      <c r="G41" s="54"/>
      <c r="H41" s="54"/>
      <c r="I41" s="348"/>
      <c r="K41" s="256" t="s">
        <v>232</v>
      </c>
      <c r="L41" s="347">
        <v>0</v>
      </c>
      <c r="M41" s="347">
        <v>0</v>
      </c>
      <c r="N41" s="347">
        <f>AC32/AC35</f>
        <v>0.92448979591836733</v>
      </c>
      <c r="O41" s="347">
        <f>AC33/AC35</f>
        <v>6.1224489795918366E-2</v>
      </c>
      <c r="P41" s="347">
        <f>AC34/AC35</f>
        <v>1.4285714285714285E-2</v>
      </c>
      <c r="T41" s="439"/>
    </row>
    <row r="42" spans="2:30" ht="12" customHeight="1" x14ac:dyDescent="0.25">
      <c r="B42" s="54" t="s">
        <v>351</v>
      </c>
      <c r="C42" s="466">
        <f>INDEX(M21:M29,MATCH(D35,K21:K29,0))</f>
        <v>0</v>
      </c>
      <c r="D42" s="466">
        <f>INDEX(M34:M42,MATCH(D35,K34:K42,0))</f>
        <v>0</v>
      </c>
      <c r="E42" s="54"/>
      <c r="F42" s="54" t="s">
        <v>535</v>
      </c>
      <c r="G42" s="54"/>
      <c r="H42" s="54"/>
      <c r="I42" s="348"/>
      <c r="K42" s="256" t="s">
        <v>505</v>
      </c>
      <c r="L42" s="347">
        <v>0</v>
      </c>
      <c r="M42" s="347">
        <v>0</v>
      </c>
      <c r="N42" s="347">
        <f>AC32/AC35</f>
        <v>0.92448979591836733</v>
      </c>
      <c r="O42" s="347">
        <f>AC33/AC35</f>
        <v>6.1224489795918366E-2</v>
      </c>
      <c r="P42" s="347">
        <f>AC34/AC35</f>
        <v>1.4285714285714285E-2</v>
      </c>
      <c r="T42" s="439"/>
      <c r="Z42" s="471"/>
    </row>
    <row r="43" spans="2:30" ht="13.7" customHeight="1" x14ac:dyDescent="0.25">
      <c r="B43" s="54" t="s">
        <v>214</v>
      </c>
      <c r="C43" s="466">
        <f>INDEX(N21:N29,MATCH(D35,K21:K29,0))</f>
        <v>0.55760517799352749</v>
      </c>
      <c r="D43" s="466">
        <f>INDEX(N34:N42,MATCH(D35,K34:K42,0))</f>
        <v>0.16576637407157327</v>
      </c>
      <c r="E43" s="54"/>
      <c r="F43" s="54" t="s">
        <v>535</v>
      </c>
      <c r="G43" s="54"/>
      <c r="H43" s="54"/>
      <c r="I43" s="348"/>
      <c r="K43" s="257" t="s">
        <v>533</v>
      </c>
      <c r="L43" s="354"/>
      <c r="M43" s="354"/>
      <c r="N43" s="354"/>
      <c r="O43" s="354"/>
      <c r="P43" s="354"/>
      <c r="Q43" s="354"/>
      <c r="R43" s="354"/>
      <c r="S43" s="354"/>
      <c r="T43" s="449"/>
      <c r="Z43" s="471"/>
    </row>
    <row r="44" spans="2:30" ht="13.7" customHeight="1" x14ac:dyDescent="0.25">
      <c r="B44" s="54" t="s">
        <v>518</v>
      </c>
      <c r="C44" s="466">
        <f>INDEX(O21:O29,MATCH(D35,K21:K29,0))</f>
        <v>0</v>
      </c>
      <c r="D44" s="466">
        <f>INDEX(O34:O42,MATCH(D35,K34:K42,0))</f>
        <v>0</v>
      </c>
      <c r="E44" s="54"/>
      <c r="F44" s="54" t="s">
        <v>535</v>
      </c>
      <c r="G44" s="54"/>
      <c r="H44" s="54"/>
      <c r="I44" s="348"/>
      <c r="Z44" s="471"/>
    </row>
    <row r="45" spans="2:30" x14ac:dyDescent="0.25">
      <c r="B45" s="54" t="s">
        <v>352</v>
      </c>
      <c r="C45" s="466">
        <f>INDEX(P21:P29,MATCH(D35,K21:K29,0))</f>
        <v>0</v>
      </c>
      <c r="D45" s="466">
        <f>INDEX(P34:P42,MATCH(D35,K34:K42,0))</f>
        <v>0.83423362592842676</v>
      </c>
      <c r="E45" s="54"/>
      <c r="F45" s="54" t="s">
        <v>535</v>
      </c>
      <c r="G45" s="54"/>
      <c r="H45" s="54"/>
      <c r="I45" s="348"/>
      <c r="K45" s="467" t="s">
        <v>536</v>
      </c>
      <c r="L45" s="468" t="s">
        <v>537</v>
      </c>
      <c r="M45" s="468" t="s">
        <v>538</v>
      </c>
      <c r="N45" s="469" t="s">
        <v>539</v>
      </c>
      <c r="O45" s="470" t="s">
        <v>540</v>
      </c>
      <c r="Z45" s="471"/>
    </row>
    <row r="46" spans="2:30" ht="17.25" customHeight="1" x14ac:dyDescent="0.25">
      <c r="B46" s="54"/>
      <c r="C46" s="54"/>
      <c r="D46" s="54"/>
      <c r="E46" s="54"/>
      <c r="F46" s="54"/>
      <c r="G46" s="54"/>
      <c r="H46" s="54"/>
      <c r="I46" s="348"/>
      <c r="K46" s="472"/>
      <c r="L46" s="473"/>
      <c r="M46" s="473"/>
      <c r="N46" s="474" t="s">
        <v>541</v>
      </c>
      <c r="O46" s="475" t="s">
        <v>542</v>
      </c>
      <c r="Z46" s="471"/>
    </row>
    <row r="47" spans="2:30" ht="15.95" customHeight="1" x14ac:dyDescent="0.25">
      <c r="B47" s="54"/>
      <c r="C47" s="357" t="s">
        <v>547</v>
      </c>
      <c r="D47" s="357"/>
      <c r="E47" s="54"/>
      <c r="F47" s="54"/>
      <c r="G47" s="54"/>
      <c r="H47" s="54"/>
      <c r="I47" s="348"/>
      <c r="K47" s="476"/>
      <c r="L47" s="477"/>
      <c r="M47" s="477"/>
      <c r="N47" s="478" t="s">
        <v>543</v>
      </c>
      <c r="O47" s="479"/>
      <c r="Z47" s="471"/>
    </row>
    <row r="48" spans="2:30" x14ac:dyDescent="0.25">
      <c r="B48" s="54" t="s">
        <v>354</v>
      </c>
      <c r="C48" s="466">
        <f>C41*D41*$C$33*$C$37</f>
        <v>0</v>
      </c>
      <c r="D48" s="356"/>
      <c r="E48" s="54"/>
      <c r="F48" s="54" t="s">
        <v>550</v>
      </c>
      <c r="G48" s="54"/>
      <c r="H48" s="54"/>
      <c r="I48" s="348"/>
      <c r="K48" s="480" t="s">
        <v>231</v>
      </c>
      <c r="L48" s="427" t="s">
        <v>544</v>
      </c>
      <c r="M48" s="427" t="s">
        <v>545</v>
      </c>
      <c r="N48" s="427">
        <v>0</v>
      </c>
      <c r="O48" s="481">
        <v>53000</v>
      </c>
      <c r="Z48" s="471"/>
    </row>
    <row r="49" spans="2:26" x14ac:dyDescent="0.25">
      <c r="B49" s="54" t="s">
        <v>355</v>
      </c>
      <c r="C49" s="466">
        <f t="shared" ref="C49:C51" si="12">C42*D42*$C$33*$C$37</f>
        <v>0</v>
      </c>
      <c r="D49" s="356"/>
      <c r="E49" s="54"/>
      <c r="F49" s="54" t="s">
        <v>550</v>
      </c>
      <c r="G49" s="54"/>
      <c r="H49" s="54"/>
      <c r="I49" s="348"/>
      <c r="K49" s="480" t="s">
        <v>231</v>
      </c>
      <c r="L49" s="427" t="s">
        <v>546</v>
      </c>
      <c r="M49" s="427" t="s">
        <v>545</v>
      </c>
      <c r="N49" s="427">
        <v>0</v>
      </c>
      <c r="O49" s="481">
        <v>106000</v>
      </c>
      <c r="Z49" s="471"/>
    </row>
    <row r="50" spans="2:26" x14ac:dyDescent="0.25">
      <c r="B50" s="54" t="s">
        <v>214</v>
      </c>
      <c r="C50" s="466">
        <f t="shared" si="12"/>
        <v>0</v>
      </c>
      <c r="D50" s="356"/>
      <c r="E50" s="54"/>
      <c r="F50" s="54" t="s">
        <v>550</v>
      </c>
      <c r="G50" s="54"/>
      <c r="H50" s="54"/>
      <c r="I50" s="348"/>
      <c r="K50" s="480" t="s">
        <v>231</v>
      </c>
      <c r="L50" s="427" t="s">
        <v>548</v>
      </c>
      <c r="M50" s="427" t="s">
        <v>549</v>
      </c>
      <c r="N50" s="427">
        <v>0.90500000000000003</v>
      </c>
      <c r="O50" s="481">
        <v>2720000</v>
      </c>
      <c r="Z50" s="471"/>
    </row>
    <row r="51" spans="2:26" x14ac:dyDescent="0.25">
      <c r="B51" s="54" t="s">
        <v>518</v>
      </c>
      <c r="C51" s="466">
        <f t="shared" si="12"/>
        <v>0</v>
      </c>
      <c r="D51" s="356"/>
      <c r="E51" s="54"/>
      <c r="F51" s="54" t="s">
        <v>550</v>
      </c>
      <c r="G51" s="54"/>
      <c r="H51" s="54"/>
      <c r="I51" s="348"/>
      <c r="K51" s="480" t="s">
        <v>231</v>
      </c>
      <c r="L51" s="427" t="s">
        <v>551</v>
      </c>
      <c r="M51" s="427" t="s">
        <v>552</v>
      </c>
      <c r="N51" s="427">
        <v>0</v>
      </c>
      <c r="O51" s="481">
        <v>240000</v>
      </c>
      <c r="Z51" s="471"/>
    </row>
    <row r="52" spans="2:26" x14ac:dyDescent="0.25">
      <c r="B52" s="54" t="s">
        <v>558</v>
      </c>
      <c r="C52" s="466">
        <f>C45*D45*$C$33*$C$37</f>
        <v>0</v>
      </c>
      <c r="D52" s="356"/>
      <c r="E52" s="54"/>
      <c r="F52" s="54" t="s">
        <v>550</v>
      </c>
      <c r="G52" s="54"/>
      <c r="H52" s="54"/>
      <c r="I52" s="348"/>
      <c r="K52" s="480" t="s">
        <v>231</v>
      </c>
      <c r="L52" s="427" t="s">
        <v>553</v>
      </c>
      <c r="M52" s="427" t="s">
        <v>554</v>
      </c>
      <c r="N52" s="427">
        <v>0</v>
      </c>
      <c r="O52" s="481">
        <v>80000</v>
      </c>
      <c r="Z52" s="471"/>
    </row>
    <row r="53" spans="2:26" x14ac:dyDescent="0.25">
      <c r="B53" s="54"/>
      <c r="C53" s="466"/>
      <c r="D53" s="356"/>
      <c r="E53" s="54"/>
      <c r="F53" s="54"/>
      <c r="G53" s="54"/>
      <c r="H53" s="54"/>
      <c r="I53" s="348"/>
      <c r="K53" s="480" t="s">
        <v>231</v>
      </c>
      <c r="L53" s="427" t="s">
        <v>555</v>
      </c>
      <c r="M53" s="427" t="s">
        <v>556</v>
      </c>
      <c r="N53" s="427">
        <v>0.57699999999999996</v>
      </c>
      <c r="O53" s="481">
        <v>664000</v>
      </c>
      <c r="Z53" s="471"/>
    </row>
    <row r="54" spans="2:26" x14ac:dyDescent="0.25">
      <c r="B54" s="355" t="s">
        <v>562</v>
      </c>
      <c r="C54" s="466">
        <f>SUM(C48:C52)</f>
        <v>0</v>
      </c>
      <c r="D54" s="356"/>
      <c r="E54" s="54"/>
      <c r="F54" s="54" t="s">
        <v>550</v>
      </c>
      <c r="G54" s="54"/>
      <c r="H54" s="54"/>
      <c r="I54" s="348"/>
      <c r="K54" s="480" t="s">
        <v>231</v>
      </c>
      <c r="L54" s="427" t="s">
        <v>557</v>
      </c>
      <c r="M54" s="427" t="s">
        <v>549</v>
      </c>
      <c r="N54" s="427">
        <v>0.91</v>
      </c>
      <c r="O54" s="481">
        <v>2880000</v>
      </c>
      <c r="Z54" s="471"/>
    </row>
    <row r="55" spans="2:26" x14ac:dyDescent="0.25">
      <c r="B55" s="355" t="s">
        <v>562</v>
      </c>
      <c r="C55" s="482">
        <f>C54*10^-3</f>
        <v>0</v>
      </c>
      <c r="D55" s="356"/>
      <c r="E55" s="54"/>
      <c r="F55" s="355" t="s">
        <v>353</v>
      </c>
      <c r="G55" s="54"/>
      <c r="H55" s="54"/>
      <c r="I55" s="348"/>
      <c r="K55" s="480" t="s">
        <v>231</v>
      </c>
      <c r="L55" s="427" t="s">
        <v>559</v>
      </c>
      <c r="M55" s="427" t="s">
        <v>560</v>
      </c>
      <c r="N55" s="427">
        <v>0</v>
      </c>
      <c r="O55" s="481">
        <v>47000</v>
      </c>
      <c r="Z55" s="471"/>
    </row>
    <row r="56" spans="2:26" x14ac:dyDescent="0.25">
      <c r="B56" s="54"/>
      <c r="C56" s="54"/>
      <c r="D56" s="54"/>
      <c r="E56" s="54"/>
      <c r="F56" s="54"/>
      <c r="G56" s="54"/>
      <c r="H56" s="54"/>
      <c r="I56" s="348"/>
      <c r="K56" s="480" t="s">
        <v>231</v>
      </c>
      <c r="L56" s="427" t="s">
        <v>561</v>
      </c>
      <c r="M56" s="427" t="s">
        <v>554</v>
      </c>
      <c r="N56" s="427">
        <v>0</v>
      </c>
      <c r="O56" s="481">
        <v>60000</v>
      </c>
      <c r="Z56" s="471"/>
    </row>
    <row r="57" spans="2:26" x14ac:dyDescent="0.25">
      <c r="B57" s="229" t="s">
        <v>371</v>
      </c>
      <c r="C57" s="346">
        <f>C55+C29+C15</f>
        <v>0</v>
      </c>
      <c r="D57" s="229"/>
      <c r="E57" s="361"/>
      <c r="F57" s="229" t="s">
        <v>370</v>
      </c>
      <c r="G57" s="229"/>
      <c r="H57" s="229"/>
      <c r="I57" s="362"/>
      <c r="K57" s="480" t="s">
        <v>231</v>
      </c>
      <c r="L57" s="427" t="s">
        <v>563</v>
      </c>
      <c r="M57" s="427" t="s">
        <v>554</v>
      </c>
      <c r="N57" s="427">
        <v>0</v>
      </c>
      <c r="O57" s="481">
        <v>29000</v>
      </c>
      <c r="Z57" s="471"/>
    </row>
    <row r="58" spans="2:26" ht="18.75" x14ac:dyDescent="0.3">
      <c r="B58" s="433" t="s">
        <v>346</v>
      </c>
      <c r="C58" s="355"/>
      <c r="D58" s="355"/>
      <c r="E58" s="358"/>
      <c r="F58" s="355"/>
      <c r="G58" s="355"/>
      <c r="H58" s="355"/>
      <c r="I58" s="349"/>
      <c r="K58" s="480" t="s">
        <v>231</v>
      </c>
      <c r="L58" s="427" t="s">
        <v>564</v>
      </c>
      <c r="M58" s="427" t="s">
        <v>565</v>
      </c>
      <c r="N58" s="427">
        <v>0.89600000000000002</v>
      </c>
      <c r="O58" s="481">
        <v>51000</v>
      </c>
      <c r="Z58" s="471"/>
    </row>
    <row r="59" spans="2:26" x14ac:dyDescent="0.25">
      <c r="B59" s="355" t="s">
        <v>7</v>
      </c>
      <c r="C59" s="355"/>
      <c r="D59" s="355"/>
      <c r="E59" s="358"/>
      <c r="F59" s="355"/>
      <c r="G59" s="355"/>
      <c r="H59" s="355"/>
      <c r="I59" s="349"/>
      <c r="K59" s="480" t="s">
        <v>231</v>
      </c>
      <c r="L59" s="427" t="s">
        <v>566</v>
      </c>
      <c r="M59" s="427" t="s">
        <v>549</v>
      </c>
      <c r="N59" s="427">
        <v>0.98799999999999999</v>
      </c>
      <c r="O59" s="481">
        <v>2100000</v>
      </c>
      <c r="Z59" s="471"/>
    </row>
    <row r="60" spans="2:26" x14ac:dyDescent="0.25">
      <c r="B60" s="54" t="s">
        <v>349</v>
      </c>
      <c r="C60" s="359">
        <f>'Data input'!$D$85*10^-3</f>
        <v>0</v>
      </c>
      <c r="D60" s="355"/>
      <c r="E60" s="358"/>
      <c r="F60" s="443" t="s">
        <v>489</v>
      </c>
      <c r="G60" s="355"/>
      <c r="H60" s="355"/>
      <c r="I60" s="349"/>
      <c r="K60" s="480" t="s">
        <v>231</v>
      </c>
      <c r="L60" s="427" t="s">
        <v>567</v>
      </c>
      <c r="M60" s="427" t="s">
        <v>549</v>
      </c>
      <c r="N60" s="427">
        <v>0.85</v>
      </c>
      <c r="O60" s="481">
        <v>1340000</v>
      </c>
      <c r="Z60" s="471"/>
    </row>
    <row r="61" spans="2:26" x14ac:dyDescent="0.25">
      <c r="B61" s="54" t="s">
        <v>492</v>
      </c>
      <c r="C61" s="54">
        <f>C6</f>
        <v>38.6</v>
      </c>
      <c r="D61" s="355"/>
      <c r="E61" s="358"/>
      <c r="F61" s="443" t="s">
        <v>398</v>
      </c>
      <c r="G61" s="355"/>
      <c r="H61" s="355"/>
      <c r="I61" s="350" t="s">
        <v>490</v>
      </c>
      <c r="K61" s="480" t="s">
        <v>231</v>
      </c>
      <c r="L61" s="427" t="s">
        <v>568</v>
      </c>
      <c r="M61" s="427" t="s">
        <v>549</v>
      </c>
      <c r="N61" s="427">
        <v>1.0549999999999999</v>
      </c>
      <c r="O61" s="481">
        <v>600000</v>
      </c>
      <c r="Z61" s="471"/>
    </row>
    <row r="62" spans="2:26" x14ac:dyDescent="0.25">
      <c r="B62" s="54" t="s">
        <v>572</v>
      </c>
      <c r="C62" s="54">
        <v>0.1</v>
      </c>
      <c r="D62" s="355"/>
      <c r="E62" s="358"/>
      <c r="F62" s="443" t="s">
        <v>512</v>
      </c>
      <c r="G62" s="355"/>
      <c r="H62" s="355"/>
      <c r="I62" s="350" t="s">
        <v>490</v>
      </c>
      <c r="K62" s="480" t="s">
        <v>231</v>
      </c>
      <c r="L62" s="427" t="s">
        <v>569</v>
      </c>
      <c r="M62" s="427" t="s">
        <v>549</v>
      </c>
      <c r="N62" s="427">
        <v>1.1060000000000001</v>
      </c>
      <c r="O62" s="481">
        <v>150000</v>
      </c>
      <c r="Z62" s="471"/>
    </row>
    <row r="63" spans="2:26" x14ac:dyDescent="0.25">
      <c r="B63" s="54" t="s">
        <v>574</v>
      </c>
      <c r="C63" s="54">
        <v>0.2</v>
      </c>
      <c r="D63" s="355"/>
      <c r="E63" s="358"/>
      <c r="F63" s="443" t="s">
        <v>512</v>
      </c>
      <c r="G63" s="355"/>
      <c r="H63" s="355"/>
      <c r="I63" s="350" t="s">
        <v>490</v>
      </c>
      <c r="K63" s="480" t="s">
        <v>231</v>
      </c>
      <c r="L63" s="427" t="s">
        <v>570</v>
      </c>
      <c r="M63" s="427" t="s">
        <v>554</v>
      </c>
      <c r="N63" s="427">
        <v>0</v>
      </c>
      <c r="O63" s="481">
        <v>240000</v>
      </c>
      <c r="Z63" s="471"/>
    </row>
    <row r="64" spans="2:26" x14ac:dyDescent="0.25">
      <c r="B64" s="355"/>
      <c r="C64" s="355"/>
      <c r="D64" s="355"/>
      <c r="E64" s="358"/>
      <c r="F64" s="438"/>
      <c r="G64" s="355"/>
      <c r="H64" s="355"/>
      <c r="I64" s="349"/>
      <c r="K64" s="480" t="s">
        <v>231</v>
      </c>
      <c r="L64" s="427" t="s">
        <v>571</v>
      </c>
      <c r="M64" s="427" t="s">
        <v>556</v>
      </c>
      <c r="N64" s="427">
        <v>0.45</v>
      </c>
      <c r="O64" s="481">
        <v>176000</v>
      </c>
      <c r="Z64" s="471"/>
    </row>
    <row r="65" spans="2:26" x14ac:dyDescent="0.25">
      <c r="B65" s="355" t="s">
        <v>372</v>
      </c>
      <c r="C65" s="355" t="s">
        <v>497</v>
      </c>
      <c r="D65" s="54"/>
      <c r="E65" s="54"/>
      <c r="F65" s="443"/>
      <c r="G65" s="54"/>
      <c r="H65" s="355"/>
      <c r="I65" s="350" t="s">
        <v>504</v>
      </c>
      <c r="K65" s="480" t="s">
        <v>231</v>
      </c>
      <c r="L65" s="427" t="s">
        <v>573</v>
      </c>
      <c r="M65" s="427" t="s">
        <v>556</v>
      </c>
      <c r="N65" s="427">
        <v>0.36899999999999999</v>
      </c>
      <c r="O65" s="481">
        <v>430000</v>
      </c>
      <c r="Z65" s="471"/>
    </row>
    <row r="66" spans="2:26" x14ac:dyDescent="0.25">
      <c r="B66" s="355"/>
      <c r="C66" s="54" t="s">
        <v>499</v>
      </c>
      <c r="D66" s="54"/>
      <c r="E66" s="54"/>
      <c r="F66" s="443" t="s">
        <v>578</v>
      </c>
      <c r="G66" s="54"/>
      <c r="H66" s="355"/>
      <c r="I66" s="349"/>
      <c r="K66" s="480" t="s">
        <v>231</v>
      </c>
      <c r="L66" s="427" t="s">
        <v>575</v>
      </c>
      <c r="M66" s="427" t="s">
        <v>554</v>
      </c>
      <c r="N66" s="427">
        <v>0</v>
      </c>
      <c r="O66" s="481">
        <v>616000</v>
      </c>
      <c r="Z66" s="471"/>
    </row>
    <row r="67" spans="2:26" x14ac:dyDescent="0.25">
      <c r="B67" s="355"/>
      <c r="C67" s="54" t="s">
        <v>502</v>
      </c>
      <c r="D67" s="54"/>
      <c r="E67" s="54"/>
      <c r="F67" s="443" t="s">
        <v>489</v>
      </c>
      <c r="G67" s="54"/>
      <c r="H67" s="355"/>
      <c r="I67" s="349"/>
      <c r="K67" s="480" t="s">
        <v>231</v>
      </c>
      <c r="L67" s="427" t="s">
        <v>576</v>
      </c>
      <c r="M67" s="427" t="s">
        <v>554</v>
      </c>
      <c r="N67" s="427">
        <v>0</v>
      </c>
      <c r="O67" s="481">
        <v>1500000</v>
      </c>
      <c r="Z67" s="471"/>
    </row>
    <row r="68" spans="2:26" x14ac:dyDescent="0.25">
      <c r="B68" s="355"/>
      <c r="C68" s="54" t="s">
        <v>507</v>
      </c>
      <c r="D68" s="54"/>
      <c r="E68" s="54"/>
      <c r="F68" s="443" t="s">
        <v>581</v>
      </c>
      <c r="G68" s="54"/>
      <c r="H68" s="355"/>
      <c r="I68" s="349"/>
      <c r="K68" s="480" t="s">
        <v>231</v>
      </c>
      <c r="L68" s="427" t="s">
        <v>577</v>
      </c>
      <c r="M68" s="427" t="s">
        <v>552</v>
      </c>
      <c r="N68" s="427">
        <v>0</v>
      </c>
      <c r="O68" s="481">
        <v>400000</v>
      </c>
      <c r="Z68" s="471"/>
    </row>
    <row r="69" spans="2:26" x14ac:dyDescent="0.25">
      <c r="B69" s="355"/>
      <c r="C69" s="54" t="s">
        <v>511</v>
      </c>
      <c r="D69" s="54"/>
      <c r="E69" s="54"/>
      <c r="F69" s="443" t="s">
        <v>512</v>
      </c>
      <c r="G69" s="54"/>
      <c r="H69" s="355"/>
      <c r="I69" s="349"/>
      <c r="K69" s="480" t="s">
        <v>231</v>
      </c>
      <c r="L69" s="427" t="s">
        <v>579</v>
      </c>
      <c r="M69" s="427" t="s">
        <v>556</v>
      </c>
      <c r="N69" s="427">
        <v>0.57699999999999996</v>
      </c>
      <c r="O69" s="481">
        <v>664000</v>
      </c>
      <c r="Z69" s="471"/>
    </row>
    <row r="70" spans="2:26" x14ac:dyDescent="0.25">
      <c r="B70" s="355"/>
      <c r="C70" s="355"/>
      <c r="D70" s="355"/>
      <c r="E70" s="358"/>
      <c r="F70" s="438"/>
      <c r="G70" s="355"/>
      <c r="H70" s="355"/>
      <c r="I70" s="349"/>
      <c r="K70" s="480" t="s">
        <v>231</v>
      </c>
      <c r="L70" s="427" t="s">
        <v>580</v>
      </c>
      <c r="M70" s="427" t="s">
        <v>549</v>
      </c>
      <c r="N70" s="427">
        <v>0.91300000000000003</v>
      </c>
      <c r="O70" s="481">
        <v>1320000</v>
      </c>
      <c r="Z70" s="471"/>
    </row>
    <row r="71" spans="2:26" x14ac:dyDescent="0.25">
      <c r="B71" s="355" t="s">
        <v>585</v>
      </c>
      <c r="C71" s="428">
        <f>(C60*C61*C62)*10^-3</f>
        <v>0</v>
      </c>
      <c r="D71" s="355"/>
      <c r="E71" s="358"/>
      <c r="F71" s="443" t="s">
        <v>375</v>
      </c>
      <c r="G71" s="355"/>
      <c r="H71" s="355"/>
      <c r="I71" s="349"/>
      <c r="K71" s="480" t="s">
        <v>231</v>
      </c>
      <c r="L71" s="427" t="s">
        <v>582</v>
      </c>
      <c r="M71" s="427" t="s">
        <v>549</v>
      </c>
      <c r="N71" s="427">
        <v>0.95099999999999996</v>
      </c>
      <c r="O71" s="481">
        <v>960000</v>
      </c>
      <c r="Z71" s="471"/>
    </row>
    <row r="72" spans="2:26" x14ac:dyDescent="0.25">
      <c r="B72" s="355" t="s">
        <v>587</v>
      </c>
      <c r="C72" s="428">
        <f>(C60*C61*C63)*10^-3</f>
        <v>0</v>
      </c>
      <c r="D72" s="355"/>
      <c r="E72" s="358"/>
      <c r="F72" s="443" t="s">
        <v>375</v>
      </c>
      <c r="G72" s="355"/>
      <c r="H72" s="355"/>
      <c r="I72" s="349"/>
      <c r="K72" s="480" t="s">
        <v>231</v>
      </c>
      <c r="L72" s="427" t="s">
        <v>583</v>
      </c>
      <c r="M72" s="427" t="s">
        <v>560</v>
      </c>
      <c r="N72" s="427">
        <v>0</v>
      </c>
      <c r="O72" s="481">
        <v>48000</v>
      </c>
      <c r="Z72" s="471"/>
    </row>
    <row r="73" spans="2:26" x14ac:dyDescent="0.25">
      <c r="B73" s="355"/>
      <c r="C73" s="355"/>
      <c r="D73" s="355"/>
      <c r="E73" s="358"/>
      <c r="F73" s="438"/>
      <c r="G73" s="355"/>
      <c r="H73" s="355"/>
      <c r="I73" s="349"/>
      <c r="K73" s="480" t="s">
        <v>487</v>
      </c>
      <c r="L73" s="427" t="s">
        <v>584</v>
      </c>
      <c r="M73" s="427" t="s">
        <v>556</v>
      </c>
      <c r="N73" s="427">
        <v>0.46200000000000002</v>
      </c>
      <c r="O73" s="481">
        <v>55000</v>
      </c>
      <c r="Z73" s="471"/>
    </row>
    <row r="74" spans="2:26" ht="18.75" x14ac:dyDescent="0.3">
      <c r="B74" s="426" t="s">
        <v>214</v>
      </c>
      <c r="C74" s="355"/>
      <c r="D74" s="355"/>
      <c r="E74" s="358"/>
      <c r="F74" s="438"/>
      <c r="G74" s="355"/>
      <c r="H74" s="355"/>
      <c r="I74" s="349"/>
      <c r="K74" s="480" t="s">
        <v>487</v>
      </c>
      <c r="L74" s="427" t="s">
        <v>586</v>
      </c>
      <c r="M74" s="427" t="s">
        <v>554</v>
      </c>
      <c r="N74" s="427">
        <v>0</v>
      </c>
      <c r="O74" s="481">
        <v>60000</v>
      </c>
      <c r="U74" s="471"/>
      <c r="V74" s="471"/>
      <c r="W74" s="471"/>
      <c r="X74" s="471"/>
      <c r="Y74" s="471"/>
      <c r="Z74" s="471"/>
    </row>
    <row r="75" spans="2:26" x14ac:dyDescent="0.25">
      <c r="B75" s="355" t="s">
        <v>7</v>
      </c>
      <c r="C75" s="355"/>
      <c r="D75" s="355"/>
      <c r="E75" s="358"/>
      <c r="F75" s="438"/>
      <c r="G75" s="355"/>
      <c r="H75" s="355"/>
      <c r="I75" s="349"/>
      <c r="K75" s="480" t="s">
        <v>487</v>
      </c>
      <c r="L75" s="427" t="s">
        <v>588</v>
      </c>
      <c r="M75" s="427" t="s">
        <v>556</v>
      </c>
      <c r="N75" s="427">
        <v>0.61599999999999999</v>
      </c>
      <c r="O75" s="481">
        <v>504000</v>
      </c>
    </row>
    <row r="76" spans="2:26" x14ac:dyDescent="0.25">
      <c r="B76" s="54" t="s">
        <v>592</v>
      </c>
      <c r="C76" s="359">
        <f>'Data input'!$D$86*10^-3</f>
        <v>0</v>
      </c>
      <c r="D76" s="355"/>
      <c r="E76" s="358"/>
      <c r="F76" s="443" t="s">
        <v>489</v>
      </c>
      <c r="G76" s="355"/>
      <c r="H76" s="355"/>
      <c r="I76" s="350"/>
      <c r="K76" s="480" t="s">
        <v>487</v>
      </c>
      <c r="L76" s="427" t="s">
        <v>589</v>
      </c>
      <c r="M76" s="427" t="s">
        <v>556</v>
      </c>
      <c r="N76" s="427">
        <v>0.61599999999999999</v>
      </c>
      <c r="O76" s="481">
        <v>459000</v>
      </c>
    </row>
    <row r="77" spans="2:26" x14ac:dyDescent="0.25">
      <c r="B77" s="54" t="s">
        <v>492</v>
      </c>
      <c r="C77" s="54">
        <f>C20</f>
        <v>25.7</v>
      </c>
      <c r="D77" s="355"/>
      <c r="E77" s="358"/>
      <c r="F77" s="443" t="s">
        <v>398</v>
      </c>
      <c r="G77" s="355"/>
      <c r="H77" s="355"/>
      <c r="I77" s="350" t="s">
        <v>490</v>
      </c>
      <c r="K77" s="480" t="s">
        <v>487</v>
      </c>
      <c r="L77" s="427" t="s">
        <v>590</v>
      </c>
      <c r="M77" s="427" t="s">
        <v>549</v>
      </c>
      <c r="N77" s="427">
        <v>0.92700000000000005</v>
      </c>
      <c r="O77" s="481">
        <v>700000</v>
      </c>
      <c r="Q77" s="471"/>
      <c r="R77" s="471"/>
      <c r="S77" s="471"/>
      <c r="T77" s="471"/>
    </row>
    <row r="78" spans="2:26" x14ac:dyDescent="0.25">
      <c r="B78" s="54" t="s">
        <v>595</v>
      </c>
      <c r="C78" s="54">
        <v>0.2</v>
      </c>
      <c r="D78" s="355"/>
      <c r="E78" s="358"/>
      <c r="F78" s="443" t="s">
        <v>512</v>
      </c>
      <c r="G78" s="355"/>
      <c r="H78" s="355"/>
      <c r="I78" s="350" t="s">
        <v>490</v>
      </c>
      <c r="K78" s="480" t="s">
        <v>487</v>
      </c>
      <c r="L78" s="427" t="s">
        <v>591</v>
      </c>
      <c r="M78" s="427" t="s">
        <v>549</v>
      </c>
      <c r="N78" s="427">
        <v>0.93700000000000006</v>
      </c>
      <c r="O78" s="481">
        <v>810000</v>
      </c>
      <c r="Q78" s="471"/>
    </row>
    <row r="79" spans="2:26" x14ac:dyDescent="0.25">
      <c r="B79" s="54" t="s">
        <v>597</v>
      </c>
      <c r="C79" s="54">
        <v>0.2</v>
      </c>
      <c r="D79" s="355"/>
      <c r="E79" s="358"/>
      <c r="F79" s="443" t="s">
        <v>512</v>
      </c>
      <c r="G79" s="355"/>
      <c r="H79" s="355"/>
      <c r="I79" s="350" t="s">
        <v>490</v>
      </c>
      <c r="K79" s="480" t="s">
        <v>487</v>
      </c>
      <c r="L79" s="427" t="s">
        <v>593</v>
      </c>
      <c r="M79" s="427" t="s">
        <v>549</v>
      </c>
      <c r="N79" s="427">
        <v>1.1619999999999999</v>
      </c>
      <c r="O79" s="481">
        <v>190000</v>
      </c>
      <c r="Q79" s="471"/>
    </row>
    <row r="80" spans="2:26" x14ac:dyDescent="0.25">
      <c r="B80" s="355"/>
      <c r="C80" s="355"/>
      <c r="D80" s="355"/>
      <c r="E80" s="358"/>
      <c r="F80" s="438"/>
      <c r="G80" s="355"/>
      <c r="H80" s="355"/>
      <c r="I80" s="349"/>
      <c r="K80" s="480" t="s">
        <v>487</v>
      </c>
      <c r="L80" s="427" t="s">
        <v>594</v>
      </c>
      <c r="M80" s="427" t="s">
        <v>556</v>
      </c>
      <c r="N80" s="427">
        <v>0.38500000000000001</v>
      </c>
      <c r="O80" s="481">
        <v>140000</v>
      </c>
      <c r="Q80" s="471"/>
    </row>
    <row r="81" spans="2:17" x14ac:dyDescent="0.25">
      <c r="B81" s="355" t="s">
        <v>374</v>
      </c>
      <c r="C81" s="355" t="s">
        <v>497</v>
      </c>
      <c r="D81" s="355"/>
      <c r="E81" s="358"/>
      <c r="F81" s="438"/>
      <c r="G81" s="355"/>
      <c r="H81" s="355"/>
      <c r="I81" s="350" t="s">
        <v>504</v>
      </c>
      <c r="K81" s="480" t="s">
        <v>487</v>
      </c>
      <c r="L81" s="427" t="s">
        <v>596</v>
      </c>
      <c r="M81" s="427" t="s">
        <v>556</v>
      </c>
      <c r="N81" s="427">
        <v>0.40100000000000002</v>
      </c>
      <c r="O81" s="481">
        <v>630000</v>
      </c>
      <c r="Q81" s="471"/>
    </row>
    <row r="82" spans="2:17" x14ac:dyDescent="0.25">
      <c r="B82" s="54"/>
      <c r="C82" s="54" t="s">
        <v>499</v>
      </c>
      <c r="D82" s="54"/>
      <c r="E82" s="359"/>
      <c r="F82" s="443" t="s">
        <v>578</v>
      </c>
      <c r="G82" s="355"/>
      <c r="H82" s="355"/>
      <c r="I82" s="349"/>
      <c r="K82" s="480" t="s">
        <v>487</v>
      </c>
      <c r="L82" s="427" t="s">
        <v>598</v>
      </c>
      <c r="M82" s="427" t="s">
        <v>549</v>
      </c>
      <c r="N82" s="427">
        <v>0.94199999999999995</v>
      </c>
      <c r="O82" s="481">
        <v>1680000</v>
      </c>
      <c r="Q82" s="471"/>
    </row>
    <row r="83" spans="2:17" x14ac:dyDescent="0.25">
      <c r="B83" s="54"/>
      <c r="C83" s="54" t="s">
        <v>502</v>
      </c>
      <c r="D83" s="54"/>
      <c r="E83" s="359"/>
      <c r="F83" s="443" t="s">
        <v>489</v>
      </c>
      <c r="G83" s="355"/>
      <c r="H83" s="355"/>
      <c r="I83" s="349"/>
      <c r="K83" s="480" t="s">
        <v>487</v>
      </c>
      <c r="L83" s="427" t="s">
        <v>599</v>
      </c>
      <c r="M83" s="427" t="s">
        <v>554</v>
      </c>
      <c r="N83" s="427">
        <v>0</v>
      </c>
      <c r="O83" s="481">
        <v>81000</v>
      </c>
      <c r="Q83" s="471"/>
    </row>
    <row r="84" spans="2:17" x14ac:dyDescent="0.25">
      <c r="B84" s="355"/>
      <c r="C84" s="54" t="s">
        <v>507</v>
      </c>
      <c r="D84" s="54"/>
      <c r="E84" s="359"/>
      <c r="F84" s="443" t="s">
        <v>581</v>
      </c>
      <c r="G84" s="355"/>
      <c r="H84" s="355"/>
      <c r="I84" s="349"/>
      <c r="K84" s="480" t="s">
        <v>487</v>
      </c>
      <c r="L84" s="427" t="s">
        <v>600</v>
      </c>
      <c r="M84" s="427" t="s">
        <v>549</v>
      </c>
      <c r="N84" s="427">
        <v>0.90200000000000002</v>
      </c>
      <c r="O84" s="481">
        <v>750000</v>
      </c>
      <c r="Q84" s="471"/>
    </row>
    <row r="85" spans="2:17" x14ac:dyDescent="0.25">
      <c r="B85" s="54"/>
      <c r="C85" s="54" t="s">
        <v>511</v>
      </c>
      <c r="D85" s="355"/>
      <c r="E85" s="359"/>
      <c r="F85" s="443" t="s">
        <v>512</v>
      </c>
      <c r="G85" s="355"/>
      <c r="H85" s="355"/>
      <c r="I85" s="349"/>
      <c r="K85" s="480" t="s">
        <v>487</v>
      </c>
      <c r="L85" s="427" t="s">
        <v>601</v>
      </c>
      <c r="M85" s="427" t="s">
        <v>565</v>
      </c>
      <c r="N85" s="427">
        <v>0.89600000000000002</v>
      </c>
      <c r="O85" s="481">
        <v>34000</v>
      </c>
      <c r="Q85" s="471"/>
    </row>
    <row r="86" spans="2:17" x14ac:dyDescent="0.25">
      <c r="B86" s="355"/>
      <c r="C86" s="358"/>
      <c r="D86" s="355"/>
      <c r="E86" s="358"/>
      <c r="F86" s="438"/>
      <c r="G86" s="355"/>
      <c r="H86" s="355"/>
      <c r="I86" s="349"/>
      <c r="K86" s="480" t="s">
        <v>487</v>
      </c>
      <c r="L86" s="427" t="s">
        <v>602</v>
      </c>
      <c r="M86" s="427" t="s">
        <v>549</v>
      </c>
      <c r="N86" s="427">
        <v>0.89800000000000002</v>
      </c>
      <c r="O86" s="481">
        <v>851000</v>
      </c>
    </row>
    <row r="87" spans="2:17" x14ac:dyDescent="0.25">
      <c r="B87" s="355" t="s">
        <v>606</v>
      </c>
      <c r="C87" s="359">
        <f>(C76*C77*C78)*10^-3</f>
        <v>0</v>
      </c>
      <c r="D87" s="355"/>
      <c r="E87" s="358"/>
      <c r="F87" s="443" t="s">
        <v>607</v>
      </c>
      <c r="G87" s="355"/>
      <c r="H87" s="355"/>
      <c r="I87" s="349"/>
      <c r="K87" s="480" t="s">
        <v>487</v>
      </c>
      <c r="L87" s="427" t="s">
        <v>603</v>
      </c>
      <c r="M87" s="427" t="s">
        <v>565</v>
      </c>
      <c r="N87" s="427">
        <v>0.83599999999999997</v>
      </c>
      <c r="O87" s="481">
        <v>418000</v>
      </c>
    </row>
    <row r="88" spans="2:17" x14ac:dyDescent="0.25">
      <c r="B88" s="355" t="s">
        <v>609</v>
      </c>
      <c r="C88" s="359">
        <f>(C76*C77*C79)*10^-3</f>
        <v>0</v>
      </c>
      <c r="D88" s="54"/>
      <c r="E88" s="359"/>
      <c r="F88" s="443" t="s">
        <v>607</v>
      </c>
      <c r="G88" s="355"/>
      <c r="H88" s="355"/>
      <c r="I88" s="349"/>
      <c r="K88" s="480" t="s">
        <v>487</v>
      </c>
      <c r="L88" s="427" t="s">
        <v>604</v>
      </c>
      <c r="M88" s="427" t="s">
        <v>556</v>
      </c>
      <c r="N88" s="427">
        <v>0.56699999999999995</v>
      </c>
      <c r="O88" s="481">
        <v>282000</v>
      </c>
    </row>
    <row r="89" spans="2:17" x14ac:dyDescent="0.25">
      <c r="B89" s="355"/>
      <c r="C89" s="358"/>
      <c r="D89" s="355"/>
      <c r="E89" s="358"/>
      <c r="F89" s="438"/>
      <c r="G89" s="355"/>
      <c r="H89" s="355"/>
      <c r="I89" s="349"/>
      <c r="K89" s="480" t="s">
        <v>487</v>
      </c>
      <c r="L89" s="427" t="s">
        <v>605</v>
      </c>
      <c r="M89" s="427" t="s">
        <v>556</v>
      </c>
      <c r="N89" s="427">
        <v>0.61599999999999999</v>
      </c>
      <c r="O89" s="481">
        <v>80000</v>
      </c>
    </row>
    <row r="90" spans="2:17" x14ac:dyDescent="0.25">
      <c r="B90" s="355" t="s">
        <v>376</v>
      </c>
      <c r="C90" s="358">
        <f>C87+C71</f>
        <v>0</v>
      </c>
      <c r="D90" s="360"/>
      <c r="E90" s="358"/>
      <c r="F90" s="438" t="s">
        <v>607</v>
      </c>
      <c r="G90" s="355"/>
      <c r="H90" s="355"/>
      <c r="I90" s="349"/>
      <c r="K90" s="480" t="s">
        <v>487</v>
      </c>
      <c r="L90" s="427" t="s">
        <v>608</v>
      </c>
      <c r="M90" s="427" t="s">
        <v>549</v>
      </c>
      <c r="N90" s="427">
        <v>0.89400000000000002</v>
      </c>
      <c r="O90" s="481">
        <v>1440000</v>
      </c>
    </row>
    <row r="91" spans="2:17" x14ac:dyDescent="0.25">
      <c r="B91" s="229" t="s">
        <v>377</v>
      </c>
      <c r="C91" s="346">
        <f>C88+C72</f>
        <v>0</v>
      </c>
      <c r="D91" s="361"/>
      <c r="E91" s="128"/>
      <c r="F91" s="483" t="s">
        <v>607</v>
      </c>
      <c r="G91" s="128"/>
      <c r="H91" s="128"/>
      <c r="I91" s="362"/>
      <c r="K91" s="480" t="s">
        <v>487</v>
      </c>
      <c r="L91" s="427" t="s">
        <v>610</v>
      </c>
      <c r="M91" s="427" t="s">
        <v>549</v>
      </c>
      <c r="N91" s="427">
        <v>1.0669999999999999</v>
      </c>
      <c r="O91" s="481">
        <v>480000</v>
      </c>
    </row>
    <row r="92" spans="2:17" x14ac:dyDescent="0.25">
      <c r="K92" s="480" t="s">
        <v>487</v>
      </c>
      <c r="L92" s="427" t="s">
        <v>611</v>
      </c>
      <c r="M92" s="427" t="s">
        <v>556</v>
      </c>
      <c r="N92" s="427">
        <v>0.39300000000000002</v>
      </c>
      <c r="O92" s="481">
        <v>385000</v>
      </c>
    </row>
    <row r="93" spans="2:17" x14ac:dyDescent="0.25">
      <c r="B93" s="7" t="s">
        <v>615</v>
      </c>
      <c r="K93" s="480" t="s">
        <v>487</v>
      </c>
      <c r="L93" s="427" t="s">
        <v>612</v>
      </c>
      <c r="M93" s="427" t="s">
        <v>549</v>
      </c>
      <c r="N93" s="427">
        <v>0.91600000000000004</v>
      </c>
      <c r="O93" s="481">
        <v>1400000</v>
      </c>
    </row>
    <row r="94" spans="2:17" x14ac:dyDescent="0.25">
      <c r="B94" s="6" t="s">
        <v>617</v>
      </c>
      <c r="K94" s="480" t="s">
        <v>487</v>
      </c>
      <c r="L94" s="427" t="s">
        <v>613</v>
      </c>
      <c r="M94" s="427" t="s">
        <v>549</v>
      </c>
      <c r="N94" s="427">
        <v>0.84599999999999997</v>
      </c>
      <c r="O94" s="481">
        <v>443000</v>
      </c>
    </row>
    <row r="95" spans="2:17" x14ac:dyDescent="0.25">
      <c r="B95" s="6" t="s">
        <v>619</v>
      </c>
      <c r="K95" s="480" t="s">
        <v>487</v>
      </c>
      <c r="L95" s="427" t="s">
        <v>614</v>
      </c>
      <c r="M95" s="427" t="s">
        <v>556</v>
      </c>
      <c r="N95" s="427">
        <v>0.40100000000000002</v>
      </c>
      <c r="O95" s="481">
        <v>240000</v>
      </c>
    </row>
    <row r="96" spans="2:17" x14ac:dyDescent="0.25">
      <c r="B96" s="6" t="s">
        <v>621</v>
      </c>
      <c r="K96" s="480" t="s">
        <v>487</v>
      </c>
      <c r="L96" s="427" t="s">
        <v>616</v>
      </c>
      <c r="M96" s="427" t="s">
        <v>554</v>
      </c>
      <c r="N96" s="427">
        <v>0</v>
      </c>
      <c r="O96" s="481">
        <v>500000</v>
      </c>
    </row>
    <row r="97" spans="2:15" x14ac:dyDescent="0.25">
      <c r="B97" s="6" t="s">
        <v>623</v>
      </c>
      <c r="K97" s="480" t="s">
        <v>487</v>
      </c>
      <c r="L97" s="427" t="s">
        <v>618</v>
      </c>
      <c r="M97" s="427" t="s">
        <v>552</v>
      </c>
      <c r="N97" s="427">
        <v>0</v>
      </c>
      <c r="O97" s="481">
        <v>480000</v>
      </c>
    </row>
    <row r="98" spans="2:15" x14ac:dyDescent="0.25">
      <c r="K98" s="480" t="s">
        <v>487</v>
      </c>
      <c r="L98" s="427" t="s">
        <v>620</v>
      </c>
      <c r="M98" s="427" t="s">
        <v>556</v>
      </c>
      <c r="N98" s="427">
        <v>0.54300000000000004</v>
      </c>
      <c r="O98" s="481">
        <v>168000</v>
      </c>
    </row>
    <row r="99" spans="2:15" x14ac:dyDescent="0.25">
      <c r="K99" s="480" t="s">
        <v>234</v>
      </c>
      <c r="L99" s="427" t="s">
        <v>622</v>
      </c>
      <c r="M99" s="427" t="s">
        <v>565</v>
      </c>
      <c r="N99" s="427">
        <v>0.94</v>
      </c>
      <c r="O99" s="481">
        <v>50000</v>
      </c>
    </row>
    <row r="100" spans="2:15" x14ac:dyDescent="0.25">
      <c r="K100" s="480" t="s">
        <v>234</v>
      </c>
      <c r="L100" s="427" t="s">
        <v>624</v>
      </c>
      <c r="M100" s="427" t="s">
        <v>560</v>
      </c>
      <c r="N100" s="427">
        <v>0</v>
      </c>
      <c r="O100" s="481">
        <v>53000</v>
      </c>
    </row>
    <row r="101" spans="2:15" x14ac:dyDescent="0.25">
      <c r="K101" s="480" t="s">
        <v>234</v>
      </c>
      <c r="L101" s="427" t="s">
        <v>625</v>
      </c>
      <c r="M101" s="427" t="s">
        <v>560</v>
      </c>
      <c r="N101" s="427">
        <v>0</v>
      </c>
      <c r="O101" s="481">
        <v>57000</v>
      </c>
    </row>
    <row r="102" spans="2:15" x14ac:dyDescent="0.25">
      <c r="K102" s="480" t="s">
        <v>234</v>
      </c>
      <c r="L102" s="427" t="s">
        <v>626</v>
      </c>
      <c r="M102" s="427" t="s">
        <v>556</v>
      </c>
      <c r="N102" s="427">
        <v>0.71</v>
      </c>
      <c r="O102" s="481">
        <v>156000</v>
      </c>
    </row>
    <row r="103" spans="2:15" x14ac:dyDescent="0.25">
      <c r="K103" s="480" t="s">
        <v>234</v>
      </c>
      <c r="L103" s="427" t="s">
        <v>627</v>
      </c>
      <c r="M103" s="427" t="s">
        <v>556</v>
      </c>
      <c r="N103" s="427">
        <v>0.77</v>
      </c>
      <c r="O103" s="481">
        <v>200000</v>
      </c>
    </row>
    <row r="104" spans="2:15" x14ac:dyDescent="0.25">
      <c r="K104" s="480" t="s">
        <v>234</v>
      </c>
      <c r="L104" s="427" t="s">
        <v>628</v>
      </c>
      <c r="M104" s="427" t="s">
        <v>560</v>
      </c>
      <c r="N104" s="427">
        <v>0</v>
      </c>
      <c r="O104" s="481">
        <v>71000</v>
      </c>
    </row>
    <row r="105" spans="2:15" x14ac:dyDescent="0.25">
      <c r="K105" s="480" t="s">
        <v>234</v>
      </c>
      <c r="L105" s="427" t="s">
        <v>629</v>
      </c>
      <c r="M105" s="427" t="s">
        <v>560</v>
      </c>
      <c r="N105" s="427">
        <v>0</v>
      </c>
      <c r="O105" s="481">
        <v>95000</v>
      </c>
    </row>
    <row r="106" spans="2:15" x14ac:dyDescent="0.25">
      <c r="K106" s="480" t="s">
        <v>234</v>
      </c>
      <c r="L106" s="427" t="s">
        <v>630</v>
      </c>
      <c r="M106" s="427" t="s">
        <v>556</v>
      </c>
      <c r="N106" s="427">
        <v>0.61599999999999999</v>
      </c>
      <c r="O106" s="481">
        <v>80000</v>
      </c>
    </row>
    <row r="107" spans="2:15" x14ac:dyDescent="0.25">
      <c r="K107" s="480" t="s">
        <v>234</v>
      </c>
      <c r="L107" s="427" t="s">
        <v>631</v>
      </c>
      <c r="M107" s="427" t="s">
        <v>560</v>
      </c>
      <c r="N107" s="427">
        <v>0</v>
      </c>
      <c r="O107" s="481">
        <v>159000</v>
      </c>
    </row>
    <row r="108" spans="2:15" x14ac:dyDescent="0.25">
      <c r="K108" s="480" t="s">
        <v>234</v>
      </c>
      <c r="L108" s="427" t="s">
        <v>632</v>
      </c>
      <c r="M108" s="427" t="s">
        <v>560</v>
      </c>
      <c r="N108" s="427">
        <v>0</v>
      </c>
      <c r="O108" s="481">
        <v>39000</v>
      </c>
    </row>
    <row r="109" spans="2:15" x14ac:dyDescent="0.25">
      <c r="K109" s="480" t="s">
        <v>234</v>
      </c>
      <c r="L109" s="427" t="s">
        <v>633</v>
      </c>
      <c r="M109" s="427" t="s">
        <v>556</v>
      </c>
      <c r="N109" s="427">
        <v>0.66</v>
      </c>
      <c r="O109" s="481">
        <v>90000</v>
      </c>
    </row>
    <row r="110" spans="2:15" x14ac:dyDescent="0.25">
      <c r="K110" s="480" t="s">
        <v>234</v>
      </c>
      <c r="L110" s="427" t="s">
        <v>634</v>
      </c>
      <c r="M110" s="427" t="s">
        <v>560</v>
      </c>
      <c r="N110" s="427">
        <v>0</v>
      </c>
      <c r="O110" s="481">
        <v>132000</v>
      </c>
    </row>
    <row r="111" spans="2:15" x14ac:dyDescent="0.25">
      <c r="K111" s="480" t="s">
        <v>234</v>
      </c>
      <c r="L111" s="427" t="s">
        <v>635</v>
      </c>
      <c r="M111" s="427" t="s">
        <v>636</v>
      </c>
      <c r="N111" s="427">
        <v>0.93899999999999995</v>
      </c>
      <c r="O111" s="481">
        <v>530000</v>
      </c>
    </row>
    <row r="112" spans="2:15" x14ac:dyDescent="0.25">
      <c r="K112" s="480" t="s">
        <v>234</v>
      </c>
      <c r="L112" s="427" t="s">
        <v>637</v>
      </c>
      <c r="M112" s="427" t="s">
        <v>556</v>
      </c>
      <c r="N112" s="427">
        <v>0.44</v>
      </c>
      <c r="O112" s="481">
        <v>180000</v>
      </c>
    </row>
    <row r="113" spans="11:15" x14ac:dyDescent="0.25">
      <c r="K113" s="480" t="s">
        <v>234</v>
      </c>
      <c r="L113" s="427" t="s">
        <v>638</v>
      </c>
      <c r="M113" s="427" t="s">
        <v>556</v>
      </c>
      <c r="N113" s="427">
        <v>0.38500000000000001</v>
      </c>
      <c r="O113" s="481">
        <v>485000</v>
      </c>
    </row>
    <row r="114" spans="11:15" x14ac:dyDescent="0.25">
      <c r="K114" s="480" t="s">
        <v>234</v>
      </c>
      <c r="L114" s="427" t="s">
        <v>639</v>
      </c>
      <c r="M114" s="427" t="s">
        <v>636</v>
      </c>
      <c r="N114" s="427">
        <v>1.496</v>
      </c>
      <c r="O114" s="481">
        <v>231000</v>
      </c>
    </row>
    <row r="115" spans="11:15" x14ac:dyDescent="0.25">
      <c r="K115" s="480" t="s">
        <v>234</v>
      </c>
      <c r="L115" s="427" t="s">
        <v>640</v>
      </c>
      <c r="M115" s="427" t="s">
        <v>565</v>
      </c>
      <c r="N115" s="427">
        <v>0.94</v>
      </c>
      <c r="O115" s="481">
        <v>74000</v>
      </c>
    </row>
    <row r="116" spans="11:15" x14ac:dyDescent="0.25">
      <c r="K116" s="480" t="s">
        <v>234</v>
      </c>
      <c r="L116" s="427" t="s">
        <v>641</v>
      </c>
      <c r="M116" s="427" t="s">
        <v>556</v>
      </c>
      <c r="N116" s="427">
        <v>0.57699999999999996</v>
      </c>
      <c r="O116" s="481">
        <v>216000</v>
      </c>
    </row>
    <row r="117" spans="11:15" x14ac:dyDescent="0.25">
      <c r="K117" s="480" t="s">
        <v>234</v>
      </c>
      <c r="L117" s="427" t="s">
        <v>642</v>
      </c>
      <c r="M117" s="427" t="s">
        <v>560</v>
      </c>
      <c r="N117" s="427">
        <v>0</v>
      </c>
      <c r="O117" s="481">
        <v>270000</v>
      </c>
    </row>
    <row r="118" spans="11:15" x14ac:dyDescent="0.25">
      <c r="K118" s="480" t="s">
        <v>234</v>
      </c>
      <c r="L118" s="427" t="s">
        <v>643</v>
      </c>
      <c r="M118" s="427" t="s">
        <v>560</v>
      </c>
      <c r="N118" s="427">
        <v>0</v>
      </c>
      <c r="O118" s="481">
        <v>99000</v>
      </c>
    </row>
    <row r="119" spans="11:15" x14ac:dyDescent="0.25">
      <c r="K119" s="480" t="s">
        <v>234</v>
      </c>
      <c r="L119" s="427" t="s">
        <v>644</v>
      </c>
      <c r="M119" s="427" t="s">
        <v>565</v>
      </c>
      <c r="N119" s="427">
        <v>0.94</v>
      </c>
      <c r="O119" s="481">
        <v>63000</v>
      </c>
    </row>
    <row r="120" spans="11:15" x14ac:dyDescent="0.25">
      <c r="K120" s="480" t="s">
        <v>234</v>
      </c>
      <c r="L120" s="427" t="s">
        <v>645</v>
      </c>
      <c r="M120" s="427" t="s">
        <v>556</v>
      </c>
      <c r="N120" s="427">
        <v>0.66900000000000004</v>
      </c>
      <c r="O120" s="481">
        <v>480000</v>
      </c>
    </row>
    <row r="121" spans="11:15" x14ac:dyDescent="0.25">
      <c r="K121" s="480" t="s">
        <v>234</v>
      </c>
      <c r="L121" s="427" t="s">
        <v>646</v>
      </c>
      <c r="M121" s="427" t="s">
        <v>556</v>
      </c>
      <c r="N121" s="427">
        <v>0.61599999999999999</v>
      </c>
      <c r="O121" s="481">
        <v>800000</v>
      </c>
    </row>
    <row r="122" spans="11:15" x14ac:dyDescent="0.25">
      <c r="K122" s="480" t="s">
        <v>234</v>
      </c>
      <c r="L122" s="427" t="s">
        <v>647</v>
      </c>
      <c r="M122" s="427" t="s">
        <v>560</v>
      </c>
      <c r="N122" s="427">
        <v>0</v>
      </c>
      <c r="O122" s="481">
        <v>111000</v>
      </c>
    </row>
    <row r="123" spans="11:15" x14ac:dyDescent="0.25">
      <c r="K123" s="480" t="s">
        <v>347</v>
      </c>
      <c r="L123" s="427" t="s">
        <v>648</v>
      </c>
      <c r="M123" s="427" t="s">
        <v>554</v>
      </c>
      <c r="N123" s="427">
        <v>0</v>
      </c>
      <c r="O123" s="481">
        <v>80000</v>
      </c>
    </row>
    <row r="124" spans="11:15" x14ac:dyDescent="0.25">
      <c r="K124" s="480" t="s">
        <v>347</v>
      </c>
      <c r="L124" s="427" t="s">
        <v>649</v>
      </c>
      <c r="M124" s="427" t="s">
        <v>556</v>
      </c>
      <c r="N124" s="427">
        <v>0.63700000000000001</v>
      </c>
      <c r="O124" s="481">
        <v>240000</v>
      </c>
    </row>
    <row r="125" spans="11:15" x14ac:dyDescent="0.25">
      <c r="K125" s="480" t="s">
        <v>347</v>
      </c>
      <c r="L125" s="427" t="s">
        <v>650</v>
      </c>
      <c r="M125" s="427" t="s">
        <v>556</v>
      </c>
      <c r="N125" s="427">
        <v>0.63700000000000001</v>
      </c>
      <c r="O125" s="481">
        <v>120000</v>
      </c>
    </row>
    <row r="126" spans="11:15" x14ac:dyDescent="0.25">
      <c r="K126" s="480" t="s">
        <v>347</v>
      </c>
      <c r="L126" s="427" t="s">
        <v>651</v>
      </c>
      <c r="M126" s="427" t="s">
        <v>554</v>
      </c>
      <c r="N126" s="427">
        <v>0</v>
      </c>
      <c r="O126" s="481">
        <v>85000</v>
      </c>
    </row>
    <row r="127" spans="11:15" x14ac:dyDescent="0.25">
      <c r="K127" s="480" t="s">
        <v>347</v>
      </c>
      <c r="L127" s="427" t="s">
        <v>652</v>
      </c>
      <c r="M127" s="427" t="s">
        <v>554</v>
      </c>
      <c r="N127" s="427">
        <v>0</v>
      </c>
      <c r="O127" s="481">
        <v>60000</v>
      </c>
    </row>
    <row r="128" spans="11:15" x14ac:dyDescent="0.25">
      <c r="K128" s="480" t="s">
        <v>347</v>
      </c>
      <c r="L128" s="427" t="s">
        <v>653</v>
      </c>
      <c r="M128" s="427" t="s">
        <v>554</v>
      </c>
      <c r="N128" s="427">
        <v>0</v>
      </c>
      <c r="O128" s="481">
        <v>43000</v>
      </c>
    </row>
    <row r="129" spans="11:15" x14ac:dyDescent="0.25">
      <c r="K129" s="480" t="s">
        <v>347</v>
      </c>
      <c r="L129" s="427" t="s">
        <v>654</v>
      </c>
      <c r="M129" s="427" t="s">
        <v>554</v>
      </c>
      <c r="N129" s="427">
        <v>0</v>
      </c>
      <c r="O129" s="481">
        <v>432000</v>
      </c>
    </row>
    <row r="130" spans="11:15" x14ac:dyDescent="0.25">
      <c r="K130" s="480" t="s">
        <v>347</v>
      </c>
      <c r="L130" s="427" t="s">
        <v>655</v>
      </c>
      <c r="M130" s="427" t="s">
        <v>554</v>
      </c>
      <c r="N130" s="427">
        <v>0</v>
      </c>
      <c r="O130" s="481">
        <v>144000</v>
      </c>
    </row>
    <row r="131" spans="11:15" x14ac:dyDescent="0.25">
      <c r="K131" s="480" t="s">
        <v>347</v>
      </c>
      <c r="L131" s="427" t="s">
        <v>656</v>
      </c>
      <c r="M131" s="427" t="s">
        <v>554</v>
      </c>
      <c r="N131" s="427">
        <v>0</v>
      </c>
      <c r="O131" s="481">
        <v>32000</v>
      </c>
    </row>
    <row r="132" spans="11:15" x14ac:dyDescent="0.25">
      <c r="K132" s="480" t="s">
        <v>347</v>
      </c>
      <c r="L132" s="427" t="s">
        <v>657</v>
      </c>
      <c r="M132" s="427" t="s">
        <v>554</v>
      </c>
      <c r="N132" s="427">
        <v>0</v>
      </c>
      <c r="O132" s="481">
        <v>82000</v>
      </c>
    </row>
    <row r="133" spans="11:15" x14ac:dyDescent="0.25">
      <c r="K133" s="480" t="s">
        <v>347</v>
      </c>
      <c r="L133" s="427" t="s">
        <v>658</v>
      </c>
      <c r="M133" s="427" t="s">
        <v>554</v>
      </c>
      <c r="N133" s="427">
        <v>0</v>
      </c>
      <c r="O133" s="481">
        <v>170000</v>
      </c>
    </row>
    <row r="134" spans="11:15" x14ac:dyDescent="0.25">
      <c r="K134" s="480" t="s">
        <v>347</v>
      </c>
      <c r="L134" s="427" t="s">
        <v>659</v>
      </c>
      <c r="M134" s="427" t="s">
        <v>554</v>
      </c>
      <c r="N134" s="427">
        <v>0</v>
      </c>
      <c r="O134" s="481">
        <v>80000</v>
      </c>
    </row>
    <row r="135" spans="11:15" x14ac:dyDescent="0.25">
      <c r="K135" s="480" t="s">
        <v>347</v>
      </c>
      <c r="L135" s="427" t="s">
        <v>660</v>
      </c>
      <c r="M135" s="427" t="s">
        <v>554</v>
      </c>
      <c r="N135" s="427">
        <v>0</v>
      </c>
      <c r="O135" s="481">
        <v>40000</v>
      </c>
    </row>
    <row r="136" spans="11:15" x14ac:dyDescent="0.25">
      <c r="K136" s="480" t="s">
        <v>347</v>
      </c>
      <c r="L136" s="427" t="s">
        <v>661</v>
      </c>
      <c r="M136" s="427" t="s">
        <v>560</v>
      </c>
      <c r="N136" s="427">
        <v>0</v>
      </c>
      <c r="O136" s="481">
        <v>168000</v>
      </c>
    </row>
    <row r="137" spans="11:15" x14ac:dyDescent="0.25">
      <c r="K137" s="480" t="s">
        <v>347</v>
      </c>
      <c r="L137" s="427" t="s">
        <v>662</v>
      </c>
      <c r="M137" s="427" t="s">
        <v>554</v>
      </c>
      <c r="N137" s="427">
        <v>0</v>
      </c>
      <c r="O137" s="481">
        <v>300000</v>
      </c>
    </row>
    <row r="138" spans="11:15" x14ac:dyDescent="0.25">
      <c r="K138" s="480" t="s">
        <v>347</v>
      </c>
      <c r="L138" s="427" t="s">
        <v>663</v>
      </c>
      <c r="M138" s="427" t="s">
        <v>554</v>
      </c>
      <c r="N138" s="427">
        <v>0</v>
      </c>
      <c r="O138" s="481">
        <v>231000</v>
      </c>
    </row>
    <row r="139" spans="11:15" x14ac:dyDescent="0.25">
      <c r="K139" s="480" t="s">
        <v>347</v>
      </c>
      <c r="L139" s="427" t="s">
        <v>664</v>
      </c>
      <c r="M139" s="427" t="s">
        <v>556</v>
      </c>
      <c r="N139" s="427">
        <v>0.38500000000000001</v>
      </c>
      <c r="O139" s="481">
        <v>200000</v>
      </c>
    </row>
    <row r="140" spans="11:15" x14ac:dyDescent="0.25">
      <c r="K140" s="480" t="s">
        <v>347</v>
      </c>
      <c r="L140" s="427" t="s">
        <v>665</v>
      </c>
      <c r="M140" s="427" t="s">
        <v>556</v>
      </c>
      <c r="N140" s="427">
        <v>0.66</v>
      </c>
      <c r="O140" s="481">
        <v>58000</v>
      </c>
    </row>
    <row r="141" spans="11:15" x14ac:dyDescent="0.25">
      <c r="K141" s="480" t="s">
        <v>347</v>
      </c>
      <c r="L141" s="427" t="s">
        <v>666</v>
      </c>
      <c r="M141" s="427" t="s">
        <v>554</v>
      </c>
      <c r="N141" s="427">
        <v>0</v>
      </c>
      <c r="O141" s="481">
        <v>90000</v>
      </c>
    </row>
    <row r="142" spans="11:15" x14ac:dyDescent="0.25">
      <c r="K142" s="480" t="s">
        <v>347</v>
      </c>
      <c r="L142" s="427" t="s">
        <v>667</v>
      </c>
      <c r="M142" s="427" t="s">
        <v>554</v>
      </c>
      <c r="N142" s="427">
        <v>0</v>
      </c>
      <c r="O142" s="481">
        <v>80000</v>
      </c>
    </row>
    <row r="143" spans="11:15" x14ac:dyDescent="0.25">
      <c r="K143" s="480" t="s">
        <v>347</v>
      </c>
      <c r="L143" s="427" t="s">
        <v>668</v>
      </c>
      <c r="M143" s="427" t="s">
        <v>554</v>
      </c>
      <c r="N143" s="427">
        <v>0</v>
      </c>
      <c r="O143" s="481">
        <v>83000</v>
      </c>
    </row>
    <row r="144" spans="11:15" x14ac:dyDescent="0.25">
      <c r="K144" s="480" t="s">
        <v>347</v>
      </c>
      <c r="L144" s="427" t="s">
        <v>669</v>
      </c>
      <c r="M144" s="427" t="s">
        <v>554</v>
      </c>
      <c r="N144" s="427">
        <v>0</v>
      </c>
      <c r="O144" s="481">
        <v>125000</v>
      </c>
    </row>
    <row r="145" spans="11:15" x14ac:dyDescent="0.25">
      <c r="K145" s="480" t="s">
        <v>348</v>
      </c>
      <c r="L145" s="427" t="s">
        <v>670</v>
      </c>
      <c r="M145" s="427" t="s">
        <v>636</v>
      </c>
      <c r="N145" s="427">
        <v>1.204</v>
      </c>
      <c r="O145" s="481">
        <v>160000</v>
      </c>
    </row>
    <row r="146" spans="11:15" x14ac:dyDescent="0.25">
      <c r="K146" s="480" t="s">
        <v>348</v>
      </c>
      <c r="L146" s="427" t="s">
        <v>671</v>
      </c>
      <c r="M146" s="427" t="s">
        <v>556</v>
      </c>
      <c r="N146" s="427">
        <v>0.54300000000000004</v>
      </c>
      <c r="O146" s="481">
        <v>92000</v>
      </c>
    </row>
    <row r="147" spans="11:15" x14ac:dyDescent="0.25">
      <c r="K147" s="480" t="s">
        <v>348</v>
      </c>
      <c r="L147" s="427" t="s">
        <v>672</v>
      </c>
      <c r="M147" s="427" t="s">
        <v>554</v>
      </c>
      <c r="N147" s="427">
        <v>0</v>
      </c>
      <c r="O147" s="481">
        <v>158000</v>
      </c>
    </row>
    <row r="148" spans="11:15" x14ac:dyDescent="0.25">
      <c r="K148" s="480" t="s">
        <v>348</v>
      </c>
      <c r="L148" s="427" t="s">
        <v>673</v>
      </c>
      <c r="M148" s="427" t="s">
        <v>554</v>
      </c>
      <c r="N148" s="427">
        <v>0</v>
      </c>
      <c r="O148" s="481">
        <v>120000</v>
      </c>
    </row>
    <row r="149" spans="11:15" x14ac:dyDescent="0.25">
      <c r="K149" s="480" t="s">
        <v>348</v>
      </c>
      <c r="L149" s="427" t="s">
        <v>674</v>
      </c>
      <c r="M149" s="427" t="s">
        <v>636</v>
      </c>
      <c r="N149" s="427">
        <v>1.4850000000000001</v>
      </c>
      <c r="O149" s="481">
        <v>195000</v>
      </c>
    </row>
    <row r="150" spans="11:15" x14ac:dyDescent="0.25">
      <c r="K150" s="480" t="s">
        <v>348</v>
      </c>
      <c r="L150" s="427" t="s">
        <v>675</v>
      </c>
      <c r="M150" s="427" t="s">
        <v>636</v>
      </c>
      <c r="N150" s="427">
        <v>1.522</v>
      </c>
      <c r="O150" s="481">
        <v>1640000</v>
      </c>
    </row>
    <row r="151" spans="11:15" x14ac:dyDescent="0.25">
      <c r="K151" s="480" t="s">
        <v>348</v>
      </c>
      <c r="L151" s="427" t="s">
        <v>676</v>
      </c>
      <c r="M151" s="427" t="s">
        <v>554</v>
      </c>
      <c r="N151" s="427">
        <v>0</v>
      </c>
      <c r="O151" s="481">
        <v>29000</v>
      </c>
    </row>
    <row r="152" spans="11:15" x14ac:dyDescent="0.25">
      <c r="K152" s="480" t="s">
        <v>348</v>
      </c>
      <c r="L152" s="427" t="s">
        <v>677</v>
      </c>
      <c r="M152" s="427" t="s">
        <v>556</v>
      </c>
      <c r="N152" s="427">
        <v>0.80600000000000005</v>
      </c>
      <c r="O152" s="481">
        <v>228000</v>
      </c>
    </row>
    <row r="153" spans="11:15" x14ac:dyDescent="0.25">
      <c r="K153" s="480" t="s">
        <v>348</v>
      </c>
      <c r="L153" s="427" t="s">
        <v>678</v>
      </c>
      <c r="M153" s="427" t="s">
        <v>556</v>
      </c>
      <c r="N153" s="427">
        <v>0.80600000000000005</v>
      </c>
      <c r="O153" s="481">
        <v>255000</v>
      </c>
    </row>
    <row r="154" spans="11:15" x14ac:dyDescent="0.25">
      <c r="K154" s="480" t="s">
        <v>348</v>
      </c>
      <c r="L154" s="427" t="s">
        <v>679</v>
      </c>
      <c r="M154" s="427" t="s">
        <v>556</v>
      </c>
      <c r="N154" s="427">
        <v>0.60799999999999998</v>
      </c>
      <c r="O154" s="481">
        <v>312000</v>
      </c>
    </row>
    <row r="155" spans="11:15" x14ac:dyDescent="0.25">
      <c r="K155" s="480" t="s">
        <v>348</v>
      </c>
      <c r="L155" s="427" t="s">
        <v>680</v>
      </c>
      <c r="M155" s="427" t="s">
        <v>636</v>
      </c>
      <c r="N155" s="427">
        <v>1.2110000000000001</v>
      </c>
      <c r="O155" s="481">
        <v>2180000</v>
      </c>
    </row>
    <row r="156" spans="11:15" x14ac:dyDescent="0.25">
      <c r="K156" s="480" t="s">
        <v>348</v>
      </c>
      <c r="L156" s="427" t="s">
        <v>681</v>
      </c>
      <c r="M156" s="427" t="s">
        <v>636</v>
      </c>
      <c r="N156" s="427">
        <v>1.238</v>
      </c>
      <c r="O156" s="481">
        <v>1050000</v>
      </c>
    </row>
    <row r="157" spans="11:15" x14ac:dyDescent="0.25">
      <c r="K157" s="480" t="s">
        <v>348</v>
      </c>
      <c r="L157" s="427" t="s">
        <v>682</v>
      </c>
      <c r="M157" s="427" t="s">
        <v>560</v>
      </c>
      <c r="N157" s="427">
        <v>0</v>
      </c>
      <c r="O157" s="481">
        <v>420000</v>
      </c>
    </row>
    <row r="158" spans="11:15" x14ac:dyDescent="0.25">
      <c r="K158" s="480" t="s">
        <v>348</v>
      </c>
      <c r="L158" s="427" t="s">
        <v>683</v>
      </c>
      <c r="M158" s="427" t="s">
        <v>554</v>
      </c>
      <c r="N158" s="427">
        <v>0</v>
      </c>
      <c r="O158" s="481">
        <v>300000</v>
      </c>
    </row>
    <row r="159" spans="11:15" x14ac:dyDescent="0.25">
      <c r="K159" s="480" t="s">
        <v>348</v>
      </c>
      <c r="L159" s="427" t="s">
        <v>684</v>
      </c>
      <c r="M159" s="427" t="s">
        <v>556</v>
      </c>
      <c r="N159" s="427">
        <v>0.57699999999999996</v>
      </c>
      <c r="O159" s="481">
        <v>566000</v>
      </c>
    </row>
    <row r="160" spans="11:15" x14ac:dyDescent="0.25">
      <c r="K160" s="480" t="s">
        <v>348</v>
      </c>
      <c r="L160" s="427" t="s">
        <v>685</v>
      </c>
      <c r="M160" s="427" t="s">
        <v>560</v>
      </c>
      <c r="N160" s="427">
        <v>0</v>
      </c>
      <c r="O160" s="481">
        <v>131000</v>
      </c>
    </row>
    <row r="161" spans="11:15" x14ac:dyDescent="0.25">
      <c r="K161" s="480" t="s">
        <v>348</v>
      </c>
      <c r="L161" s="427" t="s">
        <v>686</v>
      </c>
      <c r="M161" s="427" t="s">
        <v>554</v>
      </c>
      <c r="N161" s="427">
        <v>0</v>
      </c>
      <c r="O161" s="481">
        <v>1500000</v>
      </c>
    </row>
    <row r="162" spans="11:15" x14ac:dyDescent="0.25">
      <c r="K162" s="480" t="s">
        <v>348</v>
      </c>
      <c r="L162" s="427" t="s">
        <v>687</v>
      </c>
      <c r="M162" s="427" t="s">
        <v>556</v>
      </c>
      <c r="N162" s="427">
        <v>0.55500000000000005</v>
      </c>
      <c r="O162" s="481">
        <v>500000</v>
      </c>
    </row>
    <row r="163" spans="11:15" x14ac:dyDescent="0.25">
      <c r="K163" s="480" t="s">
        <v>348</v>
      </c>
      <c r="L163" s="427" t="s">
        <v>688</v>
      </c>
      <c r="M163" s="427" t="s">
        <v>560</v>
      </c>
      <c r="N163" s="427">
        <v>0</v>
      </c>
      <c r="O163" s="481">
        <v>63000</v>
      </c>
    </row>
    <row r="164" spans="11:15" x14ac:dyDescent="0.25">
      <c r="K164" s="480" t="s">
        <v>348</v>
      </c>
      <c r="L164" s="427" t="s">
        <v>689</v>
      </c>
      <c r="M164" s="427" t="s">
        <v>556</v>
      </c>
      <c r="N164" s="427">
        <v>0.77</v>
      </c>
      <c r="O164" s="481">
        <v>160000</v>
      </c>
    </row>
    <row r="165" spans="11:15" x14ac:dyDescent="0.25">
      <c r="K165" s="480" t="s">
        <v>348</v>
      </c>
      <c r="L165" s="427" t="s">
        <v>690</v>
      </c>
      <c r="M165" s="427" t="s">
        <v>556</v>
      </c>
      <c r="N165" s="427">
        <v>0.77</v>
      </c>
      <c r="O165" s="481">
        <v>300000</v>
      </c>
    </row>
    <row r="166" spans="11:15" x14ac:dyDescent="0.25">
      <c r="K166" s="480" t="s">
        <v>348</v>
      </c>
      <c r="L166" s="427" t="s">
        <v>691</v>
      </c>
      <c r="M166" s="427" t="s">
        <v>554</v>
      </c>
      <c r="N166" s="427">
        <v>0</v>
      </c>
      <c r="O166" s="481">
        <v>62000</v>
      </c>
    </row>
    <row r="167" spans="11:15" x14ac:dyDescent="0.25">
      <c r="K167" s="480" t="s">
        <v>348</v>
      </c>
      <c r="L167" s="427" t="s">
        <v>692</v>
      </c>
      <c r="M167" s="427" t="s">
        <v>636</v>
      </c>
      <c r="N167" s="427">
        <v>1.417</v>
      </c>
      <c r="O167" s="481">
        <v>1538000</v>
      </c>
    </row>
    <row r="168" spans="11:15" x14ac:dyDescent="0.25">
      <c r="K168" s="480" t="s">
        <v>486</v>
      </c>
      <c r="L168" s="427" t="s">
        <v>693</v>
      </c>
      <c r="M168" s="427" t="s">
        <v>560</v>
      </c>
      <c r="N168" s="427">
        <v>0</v>
      </c>
      <c r="O168" s="481">
        <v>22000</v>
      </c>
    </row>
    <row r="169" spans="11:15" x14ac:dyDescent="0.25">
      <c r="K169" s="480" t="s">
        <v>486</v>
      </c>
      <c r="L169" s="427" t="s">
        <v>694</v>
      </c>
      <c r="M169" s="427" t="s">
        <v>556</v>
      </c>
      <c r="N169" s="427">
        <v>0.61599999999999999</v>
      </c>
      <c r="O169" s="481">
        <v>5000</v>
      </c>
    </row>
    <row r="170" spans="11:15" x14ac:dyDescent="0.25">
      <c r="K170" s="480" t="s">
        <v>486</v>
      </c>
      <c r="L170" s="427" t="s">
        <v>695</v>
      </c>
      <c r="M170" s="427" t="s">
        <v>556</v>
      </c>
      <c r="N170" s="427">
        <v>0.61599999999999999</v>
      </c>
      <c r="O170" s="481">
        <v>10000</v>
      </c>
    </row>
    <row r="171" spans="11:15" x14ac:dyDescent="0.25">
      <c r="K171" s="480" t="s">
        <v>486</v>
      </c>
      <c r="L171" s="427" t="s">
        <v>696</v>
      </c>
      <c r="M171" s="427" t="s">
        <v>556</v>
      </c>
      <c r="N171" s="427">
        <v>0.61599999999999999</v>
      </c>
      <c r="O171" s="481">
        <v>25000</v>
      </c>
    </row>
    <row r="172" spans="11:15" x14ac:dyDescent="0.25">
      <c r="K172" s="480" t="s">
        <v>486</v>
      </c>
      <c r="L172" s="427" t="s">
        <v>697</v>
      </c>
      <c r="M172" s="427" t="s">
        <v>549</v>
      </c>
      <c r="N172" s="427">
        <v>0.92800000000000005</v>
      </c>
      <c r="O172" s="481">
        <v>441000</v>
      </c>
    </row>
    <row r="173" spans="11:15" x14ac:dyDescent="0.25">
      <c r="K173" s="480" t="s">
        <v>486</v>
      </c>
      <c r="L173" s="427" t="s">
        <v>698</v>
      </c>
      <c r="M173" s="427" t="s">
        <v>556</v>
      </c>
      <c r="N173" s="427">
        <v>0.56000000000000005</v>
      </c>
      <c r="O173" s="481">
        <v>81000</v>
      </c>
    </row>
    <row r="174" spans="11:15" x14ac:dyDescent="0.25">
      <c r="K174" s="480" t="s">
        <v>486</v>
      </c>
      <c r="L174" s="427" t="s">
        <v>699</v>
      </c>
      <c r="M174" s="427" t="s">
        <v>700</v>
      </c>
      <c r="N174" s="427">
        <v>0</v>
      </c>
      <c r="O174" s="481">
        <v>9000</v>
      </c>
    </row>
    <row r="175" spans="11:15" x14ac:dyDescent="0.25">
      <c r="K175" s="480" t="s">
        <v>486</v>
      </c>
      <c r="L175" s="427" t="s">
        <v>701</v>
      </c>
      <c r="M175" s="427" t="s">
        <v>556</v>
      </c>
      <c r="N175" s="427">
        <v>0.38500000000000001</v>
      </c>
      <c r="O175" s="481">
        <v>246000</v>
      </c>
    </row>
    <row r="176" spans="11:15" x14ac:dyDescent="0.25">
      <c r="K176" s="480" t="s">
        <v>486</v>
      </c>
      <c r="L176" s="427" t="s">
        <v>702</v>
      </c>
      <c r="M176" s="427" t="s">
        <v>560</v>
      </c>
      <c r="N176" s="427">
        <v>0</v>
      </c>
      <c r="O176" s="481">
        <v>206000</v>
      </c>
    </row>
    <row r="177" spans="11:15" x14ac:dyDescent="0.25">
      <c r="K177" s="480" t="s">
        <v>486</v>
      </c>
      <c r="L177" s="427" t="s">
        <v>703</v>
      </c>
      <c r="M177" s="427" t="s">
        <v>549</v>
      </c>
      <c r="N177" s="427">
        <v>0.93100000000000005</v>
      </c>
      <c r="O177" s="481">
        <v>333000</v>
      </c>
    </row>
    <row r="178" spans="11:15" x14ac:dyDescent="0.25">
      <c r="K178" s="480" t="s">
        <v>486</v>
      </c>
      <c r="L178" s="427" t="s">
        <v>704</v>
      </c>
      <c r="M178" s="427" t="s">
        <v>560</v>
      </c>
      <c r="N178" s="427">
        <v>0</v>
      </c>
      <c r="O178" s="481">
        <v>80000</v>
      </c>
    </row>
    <row r="179" spans="11:15" x14ac:dyDescent="0.25">
      <c r="K179" s="480" t="s">
        <v>486</v>
      </c>
      <c r="L179" s="427" t="s">
        <v>705</v>
      </c>
      <c r="M179" s="427" t="s">
        <v>706</v>
      </c>
      <c r="N179" s="427">
        <v>0.84299999999999997</v>
      </c>
      <c r="O179" s="481">
        <v>21000</v>
      </c>
    </row>
    <row r="180" spans="11:15" x14ac:dyDescent="0.25">
      <c r="K180" s="480" t="s">
        <v>486</v>
      </c>
      <c r="L180" s="427" t="s">
        <v>707</v>
      </c>
      <c r="M180" s="427" t="s">
        <v>560</v>
      </c>
      <c r="N180" s="427">
        <v>0</v>
      </c>
      <c r="O180" s="481">
        <v>14000</v>
      </c>
    </row>
    <row r="181" spans="11:15" x14ac:dyDescent="0.25">
      <c r="K181" s="480" t="s">
        <v>486</v>
      </c>
      <c r="L181" s="427" t="s">
        <v>708</v>
      </c>
      <c r="M181" s="427" t="s">
        <v>545</v>
      </c>
      <c r="N181" s="427">
        <v>0</v>
      </c>
      <c r="O181" s="481">
        <v>10000</v>
      </c>
    </row>
    <row r="182" spans="11:15" x14ac:dyDescent="0.25">
      <c r="K182" s="480" t="s">
        <v>486</v>
      </c>
      <c r="L182" s="427" t="s">
        <v>709</v>
      </c>
      <c r="M182" s="427" t="s">
        <v>706</v>
      </c>
      <c r="N182" s="427">
        <v>0.74099999999999999</v>
      </c>
      <c r="O182" s="481">
        <v>63000</v>
      </c>
    </row>
    <row r="183" spans="11:15" x14ac:dyDescent="0.25">
      <c r="K183" s="480" t="s">
        <v>486</v>
      </c>
      <c r="L183" s="427" t="s">
        <v>710</v>
      </c>
      <c r="M183" s="427" t="s">
        <v>556</v>
      </c>
      <c r="N183" s="427">
        <v>0.56000000000000005</v>
      </c>
      <c r="O183" s="481">
        <v>10000</v>
      </c>
    </row>
    <row r="184" spans="11:15" x14ac:dyDescent="0.25">
      <c r="K184" s="480" t="s">
        <v>486</v>
      </c>
      <c r="L184" s="427" t="s">
        <v>711</v>
      </c>
      <c r="M184" s="427" t="s">
        <v>556</v>
      </c>
      <c r="N184" s="427">
        <v>0.54300000000000004</v>
      </c>
      <c r="O184" s="481">
        <v>310000</v>
      </c>
    </row>
    <row r="185" spans="11:15" x14ac:dyDescent="0.25">
      <c r="K185" s="480" t="s">
        <v>486</v>
      </c>
      <c r="L185" s="427" t="s">
        <v>712</v>
      </c>
      <c r="M185" s="427" t="s">
        <v>556</v>
      </c>
      <c r="N185" s="427">
        <v>0.57699999999999996</v>
      </c>
      <c r="O185" s="481">
        <v>245000</v>
      </c>
    </row>
    <row r="186" spans="11:15" x14ac:dyDescent="0.25">
      <c r="K186" s="480" t="s">
        <v>486</v>
      </c>
      <c r="L186" s="427" t="s">
        <v>713</v>
      </c>
      <c r="M186" s="427" t="s">
        <v>556</v>
      </c>
      <c r="N186" s="427">
        <v>0.57699999999999996</v>
      </c>
      <c r="O186" s="481">
        <v>0</v>
      </c>
    </row>
    <row r="187" spans="11:15" x14ac:dyDescent="0.25">
      <c r="K187" s="480" t="s">
        <v>486</v>
      </c>
      <c r="L187" s="427" t="s">
        <v>714</v>
      </c>
      <c r="M187" s="427" t="s">
        <v>556</v>
      </c>
      <c r="N187" s="427">
        <v>0.56000000000000005</v>
      </c>
      <c r="O187" s="481">
        <v>385000</v>
      </c>
    </row>
    <row r="188" spans="11:15" x14ac:dyDescent="0.25">
      <c r="K188" s="480" t="s">
        <v>486</v>
      </c>
      <c r="L188" s="427" t="s">
        <v>715</v>
      </c>
      <c r="M188" s="427" t="s">
        <v>706</v>
      </c>
      <c r="N188" s="427">
        <v>0.76400000000000001</v>
      </c>
      <c r="O188" s="481">
        <v>21000</v>
      </c>
    </row>
    <row r="189" spans="11:15" x14ac:dyDescent="0.25">
      <c r="K189" s="480" t="s">
        <v>486</v>
      </c>
      <c r="L189" s="427" t="s">
        <v>716</v>
      </c>
      <c r="M189" s="427" t="s">
        <v>556</v>
      </c>
      <c r="N189" s="427">
        <v>0.46200000000000002</v>
      </c>
      <c r="O189" s="481">
        <v>201000</v>
      </c>
    </row>
    <row r="190" spans="11:15" x14ac:dyDescent="0.25">
      <c r="K190" s="480" t="s">
        <v>486</v>
      </c>
      <c r="L190" s="427" t="s">
        <v>717</v>
      </c>
      <c r="M190" s="427" t="s">
        <v>549</v>
      </c>
      <c r="N190" s="427">
        <v>1.27</v>
      </c>
      <c r="O190" s="481">
        <v>240000</v>
      </c>
    </row>
    <row r="191" spans="11:15" x14ac:dyDescent="0.25">
      <c r="K191" s="480" t="s">
        <v>486</v>
      </c>
      <c r="L191" s="427" t="s">
        <v>718</v>
      </c>
      <c r="M191" s="427" t="s">
        <v>549</v>
      </c>
      <c r="N191" s="427">
        <v>0.97</v>
      </c>
      <c r="O191" s="481">
        <v>398000</v>
      </c>
    </row>
    <row r="192" spans="11:15" x14ac:dyDescent="0.25">
      <c r="K192" s="480" t="s">
        <v>486</v>
      </c>
      <c r="L192" s="427" t="s">
        <v>719</v>
      </c>
      <c r="M192" s="427" t="s">
        <v>549</v>
      </c>
      <c r="N192" s="427">
        <v>0.94199999999999995</v>
      </c>
      <c r="O192" s="481">
        <v>454000</v>
      </c>
    </row>
    <row r="193" spans="11:15" x14ac:dyDescent="0.25">
      <c r="K193" s="480" t="s">
        <v>486</v>
      </c>
      <c r="L193" s="427" t="s">
        <v>720</v>
      </c>
      <c r="M193" s="427" t="s">
        <v>560</v>
      </c>
      <c r="N193" s="427">
        <v>0</v>
      </c>
      <c r="O193" s="481">
        <v>55000</v>
      </c>
    </row>
    <row r="194" spans="11:15" x14ac:dyDescent="0.25">
      <c r="K194" s="480" t="s">
        <v>486</v>
      </c>
      <c r="L194" s="427" t="s">
        <v>721</v>
      </c>
      <c r="M194" s="427" t="s">
        <v>556</v>
      </c>
      <c r="N194" s="427">
        <v>0.63700000000000001</v>
      </c>
      <c r="O194" s="481">
        <v>113000</v>
      </c>
    </row>
    <row r="195" spans="11:15" x14ac:dyDescent="0.25">
      <c r="K195" s="480" t="s">
        <v>486</v>
      </c>
      <c r="L195" s="427" t="s">
        <v>722</v>
      </c>
      <c r="M195" s="427" t="s">
        <v>706</v>
      </c>
      <c r="N195" s="427">
        <v>0.81499999999999995</v>
      </c>
      <c r="O195" s="481">
        <v>70000</v>
      </c>
    </row>
    <row r="196" spans="11:15" x14ac:dyDescent="0.25">
      <c r="K196" s="480" t="s">
        <v>486</v>
      </c>
      <c r="L196" s="427" t="s">
        <v>723</v>
      </c>
      <c r="M196" s="427" t="s">
        <v>556</v>
      </c>
      <c r="N196" s="427">
        <v>0.57699999999999996</v>
      </c>
      <c r="O196" s="481">
        <v>330000</v>
      </c>
    </row>
    <row r="197" spans="11:15" x14ac:dyDescent="0.25">
      <c r="K197" s="480" t="s">
        <v>486</v>
      </c>
      <c r="L197" s="427" t="s">
        <v>724</v>
      </c>
      <c r="M197" s="427" t="s">
        <v>556</v>
      </c>
      <c r="N197" s="427">
        <v>0.38500000000000001</v>
      </c>
      <c r="O197" s="481">
        <v>314000</v>
      </c>
    </row>
    <row r="198" spans="11:15" x14ac:dyDescent="0.25">
      <c r="K198" s="480" t="s">
        <v>486</v>
      </c>
      <c r="L198" s="427" t="s">
        <v>725</v>
      </c>
      <c r="M198" s="427" t="s">
        <v>556</v>
      </c>
      <c r="N198" s="427">
        <v>0.56000000000000005</v>
      </c>
      <c r="O198" s="481">
        <v>68000</v>
      </c>
    </row>
    <row r="199" spans="11:15" x14ac:dyDescent="0.25">
      <c r="K199" s="480" t="s">
        <v>486</v>
      </c>
      <c r="L199" s="427" t="s">
        <v>726</v>
      </c>
      <c r="M199" s="427" t="s">
        <v>556</v>
      </c>
      <c r="N199" s="427">
        <v>0.63700000000000001</v>
      </c>
      <c r="O199" s="481">
        <v>228000</v>
      </c>
    </row>
    <row r="200" spans="11:15" x14ac:dyDescent="0.25">
      <c r="K200" s="480" t="s">
        <v>486</v>
      </c>
      <c r="L200" s="427" t="s">
        <v>727</v>
      </c>
      <c r="M200" s="427" t="s">
        <v>556</v>
      </c>
      <c r="N200" s="427">
        <v>0.63700000000000001</v>
      </c>
      <c r="O200" s="481">
        <v>233000</v>
      </c>
    </row>
    <row r="201" spans="11:15" x14ac:dyDescent="0.25">
      <c r="K201" s="480" t="s">
        <v>486</v>
      </c>
      <c r="L201" s="427" t="s">
        <v>728</v>
      </c>
      <c r="M201" s="427" t="s">
        <v>556</v>
      </c>
      <c r="N201" s="427">
        <v>0.63700000000000001</v>
      </c>
      <c r="O201" s="481">
        <v>124000</v>
      </c>
    </row>
    <row r="202" spans="11:15" x14ac:dyDescent="0.25">
      <c r="K202" s="480" t="s">
        <v>486</v>
      </c>
      <c r="L202" s="427" t="s">
        <v>729</v>
      </c>
      <c r="M202" s="427" t="s">
        <v>556</v>
      </c>
      <c r="N202" s="427">
        <v>0.54200000000000004</v>
      </c>
      <c r="O202" s="481">
        <v>280000</v>
      </c>
    </row>
    <row r="203" spans="11:15" x14ac:dyDescent="0.25">
      <c r="K203" s="480" t="s">
        <v>486</v>
      </c>
      <c r="L203" s="427" t="s">
        <v>730</v>
      </c>
      <c r="M203" s="427" t="s">
        <v>706</v>
      </c>
      <c r="N203" s="427">
        <v>0.873</v>
      </c>
      <c r="O203" s="481">
        <v>40000</v>
      </c>
    </row>
    <row r="204" spans="11:15" x14ac:dyDescent="0.25">
      <c r="K204" s="480" t="s">
        <v>486</v>
      </c>
      <c r="L204" s="427" t="s">
        <v>731</v>
      </c>
      <c r="M204" s="427" t="s">
        <v>556</v>
      </c>
      <c r="N204" s="427">
        <v>0.57699999999999996</v>
      </c>
      <c r="O204" s="481">
        <v>37000</v>
      </c>
    </row>
    <row r="205" spans="11:15" x14ac:dyDescent="0.25">
      <c r="K205" s="480" t="s">
        <v>486</v>
      </c>
      <c r="L205" s="427" t="s">
        <v>732</v>
      </c>
      <c r="M205" s="427" t="s">
        <v>706</v>
      </c>
      <c r="N205" s="427">
        <v>0.71699999999999997</v>
      </c>
      <c r="O205" s="481">
        <v>323000</v>
      </c>
    </row>
    <row r="206" spans="11:15" x14ac:dyDescent="0.25">
      <c r="K206" s="480" t="s">
        <v>486</v>
      </c>
      <c r="L206" s="427" t="s">
        <v>733</v>
      </c>
      <c r="M206" s="427" t="s">
        <v>560</v>
      </c>
      <c r="N206" s="427">
        <v>0</v>
      </c>
      <c r="O206" s="481">
        <v>89000</v>
      </c>
    </row>
    <row r="207" spans="11:15" x14ac:dyDescent="0.25">
      <c r="K207" s="480" t="s">
        <v>486</v>
      </c>
      <c r="L207" s="427" t="s">
        <v>734</v>
      </c>
      <c r="M207" s="427" t="s">
        <v>556</v>
      </c>
      <c r="N207" s="427">
        <v>0.57699999999999996</v>
      </c>
      <c r="O207" s="481">
        <v>106000</v>
      </c>
    </row>
    <row r="208" spans="11:15" x14ac:dyDescent="0.25">
      <c r="K208" s="480" t="s">
        <v>486</v>
      </c>
      <c r="L208" s="427" t="s">
        <v>735</v>
      </c>
      <c r="M208" s="427" t="s">
        <v>549</v>
      </c>
      <c r="N208" s="427">
        <v>1.1970000000000001</v>
      </c>
      <c r="O208" s="481">
        <v>0</v>
      </c>
    </row>
    <row r="209" spans="11:15" x14ac:dyDescent="0.25">
      <c r="K209" s="480" t="s">
        <v>486</v>
      </c>
      <c r="L209" s="427" t="s">
        <v>736</v>
      </c>
      <c r="M209" s="427" t="s">
        <v>556</v>
      </c>
      <c r="N209" s="427">
        <v>0.56000000000000005</v>
      </c>
      <c r="O209" s="481">
        <v>116000</v>
      </c>
    </row>
    <row r="210" spans="11:15" x14ac:dyDescent="0.25">
      <c r="K210" s="480" t="s">
        <v>505</v>
      </c>
      <c r="L210" s="427" t="s">
        <v>737</v>
      </c>
      <c r="M210" s="427" t="s">
        <v>556</v>
      </c>
      <c r="N210" s="427">
        <v>0.63700000000000001</v>
      </c>
      <c r="O210" s="481">
        <v>74000</v>
      </c>
    </row>
    <row r="211" spans="11:15" x14ac:dyDescent="0.25">
      <c r="K211" s="480" t="s">
        <v>505</v>
      </c>
      <c r="L211" s="427" t="s">
        <v>738</v>
      </c>
      <c r="M211" s="427" t="s">
        <v>556</v>
      </c>
      <c r="N211" s="427">
        <v>0.61599999999999999</v>
      </c>
      <c r="O211" s="481">
        <v>105000</v>
      </c>
    </row>
    <row r="212" spans="11:15" x14ac:dyDescent="0.25">
      <c r="K212" s="480" t="s">
        <v>505</v>
      </c>
      <c r="L212" s="427" t="s">
        <v>739</v>
      </c>
      <c r="M212" s="427" t="s">
        <v>556</v>
      </c>
      <c r="N212" s="427">
        <v>0.36899999999999999</v>
      </c>
      <c r="O212" s="481">
        <v>450000</v>
      </c>
    </row>
    <row r="213" spans="11:15" x14ac:dyDescent="0.25">
      <c r="K213" s="480" t="s">
        <v>505</v>
      </c>
      <c r="L213" s="427" t="s">
        <v>740</v>
      </c>
      <c r="M213" s="427" t="s">
        <v>556</v>
      </c>
      <c r="N213" s="427">
        <v>0.61599999999999999</v>
      </c>
      <c r="O213" s="481">
        <v>120000</v>
      </c>
    </row>
    <row r="214" spans="11:15" x14ac:dyDescent="0.25">
      <c r="K214" s="480" t="s">
        <v>505</v>
      </c>
      <c r="L214" s="427" t="s">
        <v>741</v>
      </c>
      <c r="M214" s="427" t="s">
        <v>556</v>
      </c>
      <c r="N214" s="427">
        <v>0.61599999999999999</v>
      </c>
      <c r="O214" s="481">
        <v>44000</v>
      </c>
    </row>
    <row r="215" spans="11:15" x14ac:dyDescent="0.25">
      <c r="K215" s="480" t="s">
        <v>505</v>
      </c>
      <c r="L215" s="427" t="s">
        <v>742</v>
      </c>
      <c r="M215" s="427" t="s">
        <v>556</v>
      </c>
      <c r="N215" s="427">
        <v>0.46200000000000002</v>
      </c>
      <c r="O215" s="481">
        <v>86000</v>
      </c>
    </row>
    <row r="216" spans="11:15" x14ac:dyDescent="0.25">
      <c r="K216" s="480" t="s">
        <v>505</v>
      </c>
      <c r="L216" s="427" t="s">
        <v>743</v>
      </c>
      <c r="M216" s="427" t="s">
        <v>565</v>
      </c>
      <c r="N216" s="427">
        <v>0.84299999999999997</v>
      </c>
      <c r="O216" s="481">
        <v>20000</v>
      </c>
    </row>
    <row r="217" spans="11:15" x14ac:dyDescent="0.25">
      <c r="K217" s="480" t="s">
        <v>505</v>
      </c>
      <c r="L217" s="427" t="s">
        <v>744</v>
      </c>
      <c r="M217" s="427" t="s">
        <v>556</v>
      </c>
      <c r="N217" s="427">
        <v>0.63700000000000001</v>
      </c>
      <c r="O217" s="481">
        <v>180000</v>
      </c>
    </row>
    <row r="218" spans="11:15" x14ac:dyDescent="0.25">
      <c r="K218" s="480" t="s">
        <v>232</v>
      </c>
      <c r="L218" s="427" t="s">
        <v>745</v>
      </c>
      <c r="M218" s="427" t="s">
        <v>565</v>
      </c>
      <c r="N218" s="427">
        <v>1.0189999999999999</v>
      </c>
      <c r="O218" s="481">
        <v>30000</v>
      </c>
    </row>
    <row r="219" spans="11:15" x14ac:dyDescent="0.25">
      <c r="K219" s="480" t="s">
        <v>232</v>
      </c>
      <c r="L219" s="427" t="s">
        <v>746</v>
      </c>
      <c r="M219" s="427" t="s">
        <v>556</v>
      </c>
      <c r="N219" s="427">
        <v>0.68400000000000005</v>
      </c>
      <c r="O219" s="481">
        <v>95000</v>
      </c>
    </row>
    <row r="220" spans="11:15" x14ac:dyDescent="0.25">
      <c r="K220" s="480" t="s">
        <v>232</v>
      </c>
      <c r="L220" s="427" t="s">
        <v>747</v>
      </c>
      <c r="M220" s="427" t="s">
        <v>556</v>
      </c>
      <c r="N220" s="427">
        <v>0.38500000000000001</v>
      </c>
      <c r="O220" s="481">
        <v>95000</v>
      </c>
    </row>
    <row r="221" spans="11:15" x14ac:dyDescent="0.25">
      <c r="K221" s="480" t="s">
        <v>232</v>
      </c>
      <c r="L221" s="427" t="s">
        <v>748</v>
      </c>
      <c r="M221" s="427" t="s">
        <v>556</v>
      </c>
      <c r="N221" s="427">
        <v>0.499</v>
      </c>
      <c r="O221" s="481">
        <v>42000</v>
      </c>
    </row>
    <row r="222" spans="11:15" x14ac:dyDescent="0.25">
      <c r="K222" s="480" t="s">
        <v>232</v>
      </c>
      <c r="L222" s="427" t="s">
        <v>749</v>
      </c>
      <c r="M222" s="427" t="s">
        <v>556</v>
      </c>
      <c r="N222" s="427">
        <v>0.499</v>
      </c>
      <c r="O222" s="481">
        <v>90000</v>
      </c>
    </row>
    <row r="223" spans="11:15" x14ac:dyDescent="0.25">
      <c r="K223" s="480" t="s">
        <v>232</v>
      </c>
      <c r="L223" s="427" t="s">
        <v>750</v>
      </c>
      <c r="M223" s="427" t="s">
        <v>556</v>
      </c>
      <c r="N223" s="427">
        <v>0.73899999999999999</v>
      </c>
      <c r="O223" s="481">
        <v>34000</v>
      </c>
    </row>
    <row r="224" spans="11:15" x14ac:dyDescent="0.25">
      <c r="K224" s="480" t="s">
        <v>232</v>
      </c>
      <c r="L224" s="427" t="s">
        <v>751</v>
      </c>
      <c r="M224" s="427" t="s">
        <v>700</v>
      </c>
      <c r="N224" s="427">
        <v>0</v>
      </c>
      <c r="O224" s="481">
        <v>1000</v>
      </c>
    </row>
    <row r="225" spans="11:15" x14ac:dyDescent="0.25">
      <c r="K225" s="480" t="s">
        <v>232</v>
      </c>
      <c r="L225" s="427" t="s">
        <v>752</v>
      </c>
      <c r="M225" s="427" t="s">
        <v>556</v>
      </c>
      <c r="N225" s="427">
        <v>0.39300000000000002</v>
      </c>
      <c r="O225" s="481">
        <v>27000</v>
      </c>
    </row>
    <row r="226" spans="11:15" x14ac:dyDescent="0.25">
      <c r="K226" s="343" t="s">
        <v>232</v>
      </c>
      <c r="L226" s="344" t="s">
        <v>753</v>
      </c>
      <c r="M226" s="344" t="s">
        <v>556</v>
      </c>
      <c r="N226" s="344">
        <v>0.52800000000000002</v>
      </c>
      <c r="O226" s="345">
        <v>128000</v>
      </c>
    </row>
    <row r="227" spans="11:15" x14ac:dyDescent="0.25">
      <c r="K227" s="5" t="s">
        <v>754</v>
      </c>
    </row>
  </sheetData>
  <sheetProtection sheet="1" objects="1" scenarios="1"/>
  <phoneticPr fontId="0" type="noConversion"/>
  <pageMargins left="0.75" right="0.75" top="1" bottom="1" header="0.5" footer="0.5"/>
  <pageSetup paperSize="9" orientation="portrait" horizontalDpi="300" verticalDpi="30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Data summary</vt:lpstr>
      <vt:lpstr>Data input</vt:lpstr>
      <vt:lpstr>Enteric fermentation</vt:lpstr>
      <vt:lpstr>Manure management</vt:lpstr>
      <vt:lpstr>Nitrous oxide MMS</vt:lpstr>
      <vt:lpstr>Agricultural soils</vt:lpstr>
      <vt:lpstr>Liming</vt:lpstr>
      <vt:lpstr>Urea Application</vt:lpstr>
      <vt:lpstr>Electicity &amp; Diesel</vt:lpstr>
      <vt:lpstr>Transport</vt:lpstr>
      <vt:lpstr>GWP</vt:lpstr>
    </vt:vector>
  </TitlesOfParts>
  <Company>ILFR, The University of Melbourne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Richard J Eckard</dc:creator>
  <cp:lastModifiedBy>Richard Eckard</cp:lastModifiedBy>
  <cp:lastPrinted>2002-03-13T02:03:34Z</cp:lastPrinted>
  <dcterms:created xsi:type="dcterms:W3CDTF">2001-05-18T05:48:59Z</dcterms:created>
  <dcterms:modified xsi:type="dcterms:W3CDTF">2016-08-05T04:15:46Z</dcterms:modified>
</cp:coreProperties>
</file>