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charts/chart3.xml" ContentType="application/vnd.openxmlformats-officedocument.drawingml.chart+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2390" windowHeight="8010" activeTab="1"/>
  </bookViews>
  <sheets>
    <sheet name="Intro" sheetId="4" r:id="rId1"/>
    <sheet name="Data summary" sheetId="6" r:id="rId2"/>
    <sheet name="Data input" sheetId="7" r:id="rId3"/>
    <sheet name="Enteric fermentation" sheetId="3" r:id="rId4"/>
    <sheet name="Manure management" sheetId="8" r:id="rId5"/>
    <sheet name="Nitrous oxide MMS" sheetId="9" r:id="rId6"/>
    <sheet name="Agricultural soils" sheetId="13" r:id="rId7"/>
    <sheet name="Trees" sheetId="11" r:id="rId8"/>
    <sheet name="Electricity &amp; Diesel" sheetId="12" r:id="rId9"/>
  </sheets>
  <definedNames>
    <definedName name="_xlnm.Print_Area" localSheetId="1">'Data summary'!$B$1:$L$40</definedName>
  </definedNames>
  <calcPr calcId="145621"/>
</workbook>
</file>

<file path=xl/calcChain.xml><?xml version="1.0" encoding="utf-8"?>
<calcChain xmlns="http://schemas.openxmlformats.org/spreadsheetml/2006/main">
  <c r="C18" i="6" l="1"/>
  <c r="D18" i="6"/>
  <c r="E18" i="6"/>
  <c r="F18" i="6"/>
  <c r="C19" i="6"/>
  <c r="D19" i="6"/>
  <c r="E19" i="6"/>
  <c r="F19" i="6"/>
  <c r="C20" i="6"/>
  <c r="D20" i="6"/>
  <c r="E20" i="6"/>
  <c r="F20" i="6"/>
  <c r="D17" i="6"/>
  <c r="E17" i="6"/>
  <c r="F17" i="6"/>
  <c r="C17" i="6"/>
  <c r="D15" i="6"/>
  <c r="E15" i="6"/>
  <c r="F15" i="6"/>
  <c r="C15" i="6"/>
  <c r="D14" i="6"/>
  <c r="E14" i="6"/>
  <c r="F14" i="6"/>
  <c r="C14" i="6"/>
  <c r="C5" i="13"/>
  <c r="C8" i="12"/>
  <c r="C4" i="12"/>
  <c r="F27" i="6"/>
  <c r="C27" i="6"/>
  <c r="F23" i="6"/>
  <c r="F22" i="6"/>
  <c r="C23" i="6"/>
  <c r="C22" i="6"/>
  <c r="F12" i="6"/>
  <c r="D12" i="6"/>
  <c r="E12" i="6"/>
  <c r="C12" i="6"/>
  <c r="F11" i="6"/>
  <c r="D11" i="6"/>
  <c r="E11" i="6"/>
  <c r="C11" i="6"/>
  <c r="F10" i="6"/>
  <c r="D10" i="6"/>
  <c r="E10" i="6"/>
  <c r="C10" i="6"/>
  <c r="F9" i="6"/>
  <c r="D9" i="6"/>
  <c r="E9" i="6"/>
  <c r="C9" i="6"/>
  <c r="F8" i="6"/>
  <c r="D8" i="6"/>
  <c r="E8" i="6"/>
  <c r="C8" i="6"/>
  <c r="F7" i="6"/>
  <c r="D7" i="6"/>
  <c r="E7" i="6"/>
  <c r="C7" i="6"/>
  <c r="G43" i="9"/>
  <c r="E43" i="9"/>
  <c r="F43" i="9"/>
  <c r="D43" i="9"/>
  <c r="G42" i="9"/>
  <c r="E42" i="9"/>
  <c r="F42" i="9"/>
  <c r="D42" i="9"/>
  <c r="G41" i="9"/>
  <c r="E41" i="9"/>
  <c r="F41" i="9"/>
  <c r="D41" i="9"/>
  <c r="G40" i="9"/>
  <c r="E40" i="9"/>
  <c r="F40" i="9"/>
  <c r="D40" i="9"/>
  <c r="G38" i="9"/>
  <c r="E38" i="9"/>
  <c r="L21" i="9" s="1"/>
  <c r="F38" i="9"/>
  <c r="M21" i="9" s="1"/>
  <c r="D38" i="9"/>
  <c r="K21" i="9" s="1"/>
  <c r="G37" i="9"/>
  <c r="E37" i="9"/>
  <c r="L20" i="9" s="1"/>
  <c r="F37" i="9"/>
  <c r="M20" i="9" s="1"/>
  <c r="D37" i="9"/>
  <c r="K20" i="9" s="1"/>
  <c r="G36" i="9"/>
  <c r="E36" i="9"/>
  <c r="L19" i="9" s="1"/>
  <c r="F36" i="9"/>
  <c r="M19" i="9" s="1"/>
  <c r="D36" i="9"/>
  <c r="K19" i="9" s="1"/>
  <c r="G35" i="9"/>
  <c r="E35" i="9"/>
  <c r="F35" i="9"/>
  <c r="D35" i="9"/>
  <c r="G33" i="9"/>
  <c r="E33" i="9"/>
  <c r="F33" i="9"/>
  <c r="D33" i="9"/>
  <c r="G32" i="9"/>
  <c r="E32" i="9"/>
  <c r="F32" i="9"/>
  <c r="D32" i="9"/>
  <c r="G31" i="9"/>
  <c r="E31" i="9"/>
  <c r="F31" i="9"/>
  <c r="D31" i="9"/>
  <c r="G30" i="9"/>
  <c r="E30" i="9"/>
  <c r="F30" i="9"/>
  <c r="D30" i="9"/>
  <c r="G23" i="9"/>
  <c r="E23" i="9"/>
  <c r="F23" i="9"/>
  <c r="D23" i="9"/>
  <c r="G22" i="9"/>
  <c r="E22" i="9"/>
  <c r="F22" i="9"/>
  <c r="D22" i="9"/>
  <c r="G21" i="9"/>
  <c r="E21" i="9"/>
  <c r="F21" i="9"/>
  <c r="D21" i="9"/>
  <c r="G20" i="9"/>
  <c r="E20" i="9"/>
  <c r="F20" i="9"/>
  <c r="D20" i="9"/>
  <c r="G13" i="9"/>
  <c r="G12" i="9"/>
  <c r="G11" i="9"/>
  <c r="G10" i="9"/>
  <c r="E13" i="9"/>
  <c r="E18" i="9" s="1"/>
  <c r="F13" i="9"/>
  <c r="F18" i="9" s="1"/>
  <c r="D13" i="9"/>
  <c r="D18" i="9" s="1"/>
  <c r="E12" i="9"/>
  <c r="E17" i="9" s="1"/>
  <c r="F12" i="9"/>
  <c r="F17" i="9" s="1"/>
  <c r="D12" i="9"/>
  <c r="D17" i="9" s="1"/>
  <c r="E11" i="9"/>
  <c r="E16" i="9" s="1"/>
  <c r="F11" i="9"/>
  <c r="F16" i="9" s="1"/>
  <c r="D11" i="9"/>
  <c r="D16" i="9" s="1"/>
  <c r="E10" i="9"/>
  <c r="F10" i="9"/>
  <c r="D10" i="9"/>
  <c r="G13" i="8"/>
  <c r="E13" i="8"/>
  <c r="F13" i="8"/>
  <c r="D13" i="8"/>
  <c r="G12" i="8"/>
  <c r="E12" i="8"/>
  <c r="F12" i="8"/>
  <c r="D12" i="8"/>
  <c r="G11" i="8"/>
  <c r="E11" i="8"/>
  <c r="F11" i="8"/>
  <c r="D11" i="8"/>
  <c r="G10" i="8"/>
  <c r="E10" i="8"/>
  <c r="F10" i="8"/>
  <c r="D10" i="8"/>
  <c r="G23" i="8"/>
  <c r="E23" i="8"/>
  <c r="F23" i="8"/>
  <c r="D23" i="8"/>
  <c r="G22" i="8"/>
  <c r="E22" i="8"/>
  <c r="F22" i="8"/>
  <c r="D22" i="8"/>
  <c r="G21" i="8"/>
  <c r="E21" i="8"/>
  <c r="F21" i="8"/>
  <c r="D21" i="8"/>
  <c r="G18" i="8"/>
  <c r="E18" i="8"/>
  <c r="F18" i="8"/>
  <c r="D18" i="8"/>
  <c r="G17" i="8"/>
  <c r="E17" i="8"/>
  <c r="F17" i="8"/>
  <c r="D17" i="8"/>
  <c r="G16" i="8"/>
  <c r="E16" i="8"/>
  <c r="F16" i="8"/>
  <c r="D16" i="8"/>
  <c r="G8" i="8"/>
  <c r="E8" i="8"/>
  <c r="F8" i="8"/>
  <c r="D8" i="8"/>
  <c r="G7" i="8"/>
  <c r="E7" i="8"/>
  <c r="F7" i="8"/>
  <c r="D7" i="8"/>
  <c r="G6" i="8"/>
  <c r="E6" i="8"/>
  <c r="F6" i="8"/>
  <c r="D6" i="8"/>
  <c r="D145" i="3"/>
  <c r="E145" i="3"/>
  <c r="F145" i="3"/>
  <c r="C145" i="3"/>
  <c r="D144" i="3"/>
  <c r="E144" i="3"/>
  <c r="F144" i="3"/>
  <c r="C144" i="3"/>
  <c r="D143" i="3"/>
  <c r="E143" i="3"/>
  <c r="F143" i="3"/>
  <c r="C143" i="3"/>
  <c r="D142" i="3"/>
  <c r="E142" i="3"/>
  <c r="F142" i="3"/>
  <c r="C142" i="3"/>
  <c r="D140" i="3"/>
  <c r="E140" i="3"/>
  <c r="F140" i="3"/>
  <c r="C140" i="3"/>
  <c r="D137" i="3"/>
  <c r="E137" i="3"/>
  <c r="G137" i="3"/>
  <c r="C137" i="3"/>
  <c r="D136" i="3"/>
  <c r="E136" i="3"/>
  <c r="G136" i="3"/>
  <c r="C136" i="3"/>
  <c r="D135" i="3"/>
  <c r="L13" i="3" s="1"/>
  <c r="E135" i="3"/>
  <c r="M13" i="3" s="1"/>
  <c r="M21" i="3" s="1"/>
  <c r="M29" i="3" s="1"/>
  <c r="G135" i="3"/>
  <c r="C135" i="3"/>
  <c r="K13" i="3" s="1"/>
  <c r="D133" i="3"/>
  <c r="E133" i="3"/>
  <c r="G133" i="3"/>
  <c r="C133" i="3"/>
  <c r="D102" i="3"/>
  <c r="E102" i="3"/>
  <c r="F102" i="3"/>
  <c r="C102" i="3"/>
  <c r="D101" i="3"/>
  <c r="E101" i="3"/>
  <c r="F101" i="3"/>
  <c r="C101" i="3"/>
  <c r="D100" i="3"/>
  <c r="E100" i="3"/>
  <c r="F100" i="3"/>
  <c r="C100" i="3"/>
  <c r="D99" i="3"/>
  <c r="E99" i="3"/>
  <c r="F99" i="3"/>
  <c r="C99" i="3"/>
  <c r="D97" i="3"/>
  <c r="E97" i="3"/>
  <c r="F97" i="3"/>
  <c r="C97" i="3"/>
  <c r="D94" i="3"/>
  <c r="E94" i="3"/>
  <c r="G94" i="3"/>
  <c r="C94" i="3"/>
  <c r="D93" i="3"/>
  <c r="E93" i="3"/>
  <c r="G93" i="3"/>
  <c r="C93" i="3"/>
  <c r="D92" i="3"/>
  <c r="L12" i="3" s="1"/>
  <c r="E92" i="3"/>
  <c r="M12" i="3" s="1"/>
  <c r="G92" i="3"/>
  <c r="C92" i="3"/>
  <c r="K12" i="3" s="1"/>
  <c r="D90" i="3"/>
  <c r="E90" i="3"/>
  <c r="G90" i="3"/>
  <c r="C90" i="3"/>
  <c r="D59" i="3"/>
  <c r="E59" i="3"/>
  <c r="F59" i="3"/>
  <c r="C59" i="3"/>
  <c r="D58" i="3"/>
  <c r="E58" i="3"/>
  <c r="F58" i="3"/>
  <c r="C58" i="3"/>
  <c r="D57" i="3"/>
  <c r="E57" i="3"/>
  <c r="F57" i="3"/>
  <c r="C57" i="3"/>
  <c r="D56" i="3"/>
  <c r="E56" i="3"/>
  <c r="F56" i="3"/>
  <c r="C56" i="3"/>
  <c r="D54" i="3"/>
  <c r="E54" i="3"/>
  <c r="F54" i="3"/>
  <c r="C54" i="3"/>
  <c r="D51" i="3"/>
  <c r="E51" i="3"/>
  <c r="G51" i="3"/>
  <c r="C51" i="3"/>
  <c r="D50" i="3"/>
  <c r="E50" i="3"/>
  <c r="G50" i="3"/>
  <c r="C50" i="3"/>
  <c r="D49" i="3"/>
  <c r="L11" i="3" s="1"/>
  <c r="E49" i="3"/>
  <c r="M11" i="3" s="1"/>
  <c r="G49" i="3"/>
  <c r="C49" i="3"/>
  <c r="K11" i="3" s="1"/>
  <c r="D47" i="3"/>
  <c r="E47" i="3"/>
  <c r="G47" i="3"/>
  <c r="C47" i="3"/>
  <c r="D10" i="3"/>
  <c r="E10" i="3"/>
  <c r="F10" i="3"/>
  <c r="C10" i="3"/>
  <c r="F63" i="3" l="1"/>
  <c r="F68" i="3" s="1"/>
  <c r="C63" i="3"/>
  <c r="C68" i="3" s="1"/>
  <c r="E63" i="3"/>
  <c r="E78" i="3" s="1"/>
  <c r="D63" i="3"/>
  <c r="D73" i="3" s="1"/>
  <c r="F106" i="3"/>
  <c r="F126" i="3" s="1"/>
  <c r="E106" i="3"/>
  <c r="C106" i="3"/>
  <c r="C126" i="3" s="1"/>
  <c r="D106" i="3"/>
  <c r="E149" i="3"/>
  <c r="E164" i="3" s="1"/>
  <c r="F149" i="3"/>
  <c r="F159" i="3" s="1"/>
  <c r="C149" i="3"/>
  <c r="C154" i="3" s="1"/>
  <c r="D149" i="3"/>
  <c r="D159" i="3" s="1"/>
  <c r="E65" i="3"/>
  <c r="E80" i="3" s="1"/>
  <c r="F65" i="3"/>
  <c r="F85" i="3" s="1"/>
  <c r="D65" i="3"/>
  <c r="D75" i="3" s="1"/>
  <c r="C65" i="3"/>
  <c r="C70" i="3" s="1"/>
  <c r="D108" i="3"/>
  <c r="D113" i="3" s="1"/>
  <c r="C108" i="3"/>
  <c r="C113" i="3" s="1"/>
  <c r="E108" i="3"/>
  <c r="E118" i="3" s="1"/>
  <c r="F108" i="3"/>
  <c r="F118" i="3" s="1"/>
  <c r="E64" i="3"/>
  <c r="E79" i="3" s="1"/>
  <c r="F64" i="3"/>
  <c r="F84" i="3" s="1"/>
  <c r="C64" i="3"/>
  <c r="C69" i="3" s="1"/>
  <c r="D64" i="3"/>
  <c r="D74" i="3" s="1"/>
  <c r="C107" i="3"/>
  <c r="C112" i="3" s="1"/>
  <c r="F107" i="3"/>
  <c r="F127" i="3" s="1"/>
  <c r="E107" i="3"/>
  <c r="E127" i="3" s="1"/>
  <c r="D107" i="3"/>
  <c r="F150" i="3"/>
  <c r="F170" i="3" s="1"/>
  <c r="C150" i="3"/>
  <c r="C155" i="3" s="1"/>
  <c r="E150" i="3"/>
  <c r="E165" i="3" s="1"/>
  <c r="D150" i="3"/>
  <c r="D160" i="3" s="1"/>
  <c r="C151" i="3"/>
  <c r="C156" i="3" s="1"/>
  <c r="D151" i="3"/>
  <c r="D161" i="3" s="1"/>
  <c r="E151" i="3"/>
  <c r="E166" i="3" s="1"/>
  <c r="F151" i="3"/>
  <c r="F171" i="3" s="1"/>
  <c r="G102" i="3"/>
  <c r="G97" i="3"/>
  <c r="G101" i="3"/>
  <c r="G100" i="3"/>
  <c r="G140" i="3"/>
  <c r="L27" i="9"/>
  <c r="G99" i="3"/>
  <c r="G142" i="3"/>
  <c r="G143" i="3"/>
  <c r="G144" i="3"/>
  <c r="G56" i="3"/>
  <c r="G57" i="3"/>
  <c r="K28" i="9"/>
  <c r="G59" i="3"/>
  <c r="G54" i="3"/>
  <c r="M26" i="9"/>
  <c r="E70" i="3"/>
  <c r="K26" i="9"/>
  <c r="M27" i="9"/>
  <c r="L28" i="9"/>
  <c r="K27" i="9"/>
  <c r="M28" i="9"/>
  <c r="G58" i="3"/>
  <c r="D69" i="3"/>
  <c r="L26" i="9"/>
  <c r="G145" i="3"/>
  <c r="C127" i="3"/>
  <c r="E160" i="3" l="1"/>
  <c r="D164" i="3"/>
  <c r="E170" i="3"/>
  <c r="E155" i="3"/>
  <c r="D68" i="3"/>
  <c r="C80" i="3"/>
  <c r="D156" i="3"/>
  <c r="D171" i="3"/>
  <c r="D166" i="3"/>
  <c r="E171" i="3"/>
  <c r="F69" i="3"/>
  <c r="F73" i="3"/>
  <c r="C122" i="3"/>
  <c r="E84" i="3"/>
  <c r="F83" i="3"/>
  <c r="F78" i="3"/>
  <c r="C117" i="3"/>
  <c r="E112" i="3"/>
  <c r="E117" i="3"/>
  <c r="F169" i="3"/>
  <c r="F164" i="3"/>
  <c r="E116" i="3"/>
  <c r="E121" i="3"/>
  <c r="D122" i="3"/>
  <c r="D117" i="3"/>
  <c r="F128" i="3"/>
  <c r="F123" i="3"/>
  <c r="C121" i="3"/>
  <c r="C111" i="3"/>
  <c r="D123" i="3"/>
  <c r="D118" i="3"/>
  <c r="D121" i="3"/>
  <c r="D116" i="3"/>
  <c r="C116" i="3"/>
  <c r="D111" i="3"/>
  <c r="D126" i="3"/>
  <c r="G106" i="3"/>
  <c r="F121" i="3"/>
  <c r="F111" i="3"/>
  <c r="D85" i="3"/>
  <c r="C73" i="3"/>
  <c r="C78" i="3"/>
  <c r="D128" i="3"/>
  <c r="C83" i="3"/>
  <c r="F154" i="3"/>
  <c r="G107" i="3"/>
  <c r="F113" i="3"/>
  <c r="E122" i="3"/>
  <c r="F117" i="3"/>
  <c r="F116" i="3"/>
  <c r="D80" i="3"/>
  <c r="D70" i="3"/>
  <c r="F112" i="3"/>
  <c r="F122" i="3"/>
  <c r="E74" i="3"/>
  <c r="E69" i="3"/>
  <c r="E73" i="3"/>
  <c r="E68" i="3"/>
  <c r="E156" i="3"/>
  <c r="E161" i="3"/>
  <c r="F161" i="3"/>
  <c r="F156" i="3"/>
  <c r="F166" i="3"/>
  <c r="D165" i="3"/>
  <c r="D155" i="3"/>
  <c r="D170" i="3"/>
  <c r="C160" i="3"/>
  <c r="C170" i="3"/>
  <c r="G150" i="3"/>
  <c r="C165" i="3"/>
  <c r="C169" i="3"/>
  <c r="G149" i="3"/>
  <c r="C164" i="3"/>
  <c r="C159" i="3"/>
  <c r="C166" i="3"/>
  <c r="C161" i="3"/>
  <c r="C171" i="3"/>
  <c r="G151" i="3"/>
  <c r="E159" i="3"/>
  <c r="E154" i="3"/>
  <c r="E169" i="3"/>
  <c r="F155" i="3"/>
  <c r="F165" i="3"/>
  <c r="F160" i="3"/>
  <c r="D154" i="3"/>
  <c r="D169" i="3"/>
  <c r="E113" i="3"/>
  <c r="E128" i="3"/>
  <c r="E123" i="3"/>
  <c r="D112" i="3"/>
  <c r="D127" i="3"/>
  <c r="G127" i="3" s="1"/>
  <c r="E7" i="9" s="1"/>
  <c r="C123" i="3"/>
  <c r="C118" i="3"/>
  <c r="C128" i="3"/>
  <c r="G108" i="3"/>
  <c r="E111" i="3"/>
  <c r="E126" i="3"/>
  <c r="F75" i="3"/>
  <c r="F70" i="3"/>
  <c r="F80" i="3"/>
  <c r="D79" i="3"/>
  <c r="D84" i="3"/>
  <c r="E85" i="3"/>
  <c r="E75" i="3"/>
  <c r="C74" i="3"/>
  <c r="C84" i="3"/>
  <c r="G64" i="3"/>
  <c r="C79" i="3"/>
  <c r="E83" i="3"/>
  <c r="G63" i="3"/>
  <c r="C75" i="3"/>
  <c r="C85" i="3"/>
  <c r="G65" i="3"/>
  <c r="F79" i="3"/>
  <c r="F74" i="3"/>
  <c r="D83" i="3"/>
  <c r="D78" i="3"/>
  <c r="G121" i="3" l="1"/>
  <c r="G126" i="3"/>
  <c r="D7" i="9" s="1"/>
  <c r="G117" i="3"/>
  <c r="G116" i="3"/>
  <c r="G111" i="3"/>
  <c r="G112" i="3"/>
  <c r="G161" i="3"/>
  <c r="G122" i="3"/>
  <c r="K20" i="3"/>
  <c r="K28" i="3" s="1"/>
  <c r="G80" i="3"/>
  <c r="G85" i="3"/>
  <c r="F6" i="9" s="1"/>
  <c r="G75" i="3"/>
  <c r="G128" i="3"/>
  <c r="F7" i="9" s="1"/>
  <c r="G171" i="3"/>
  <c r="F8" i="9" s="1"/>
  <c r="G156" i="3"/>
  <c r="G123" i="3"/>
  <c r="G83" i="3"/>
  <c r="D6" i="9" s="1"/>
  <c r="G84" i="3"/>
  <c r="E6" i="9" s="1"/>
  <c r="G68" i="3"/>
  <c r="G70" i="3"/>
  <c r="G164" i="3"/>
  <c r="G165" i="3"/>
  <c r="G160" i="3"/>
  <c r="G159" i="3"/>
  <c r="G154" i="3"/>
  <c r="G155" i="3"/>
  <c r="G166" i="3"/>
  <c r="G169" i="3"/>
  <c r="D8" i="9" s="1"/>
  <c r="G170" i="3"/>
  <c r="E8" i="9" s="1"/>
  <c r="G118" i="3"/>
  <c r="G113" i="3"/>
  <c r="G78" i="3"/>
  <c r="G79" i="3"/>
  <c r="G74" i="3"/>
  <c r="G73" i="3"/>
  <c r="G69" i="3"/>
  <c r="L20" i="3" l="1"/>
  <c r="L28" i="3" s="1"/>
  <c r="M19" i="3"/>
  <c r="M27" i="3" s="1"/>
  <c r="K19" i="3"/>
  <c r="K27" i="3" s="1"/>
  <c r="L19" i="3"/>
  <c r="L27" i="3" s="1"/>
  <c r="L21" i="3"/>
  <c r="L29" i="3" s="1"/>
  <c r="M20" i="3"/>
  <c r="M28" i="3" s="1"/>
  <c r="K21" i="3"/>
  <c r="K29" i="3" s="1"/>
  <c r="D16" i="3"/>
  <c r="E16" i="3"/>
  <c r="F16" i="3"/>
  <c r="C16" i="3"/>
  <c r="D15" i="3"/>
  <c r="E15" i="3"/>
  <c r="F15" i="3"/>
  <c r="C15" i="3"/>
  <c r="D14" i="3"/>
  <c r="E14" i="3"/>
  <c r="F14" i="3"/>
  <c r="C14" i="3"/>
  <c r="D13" i="3"/>
  <c r="E13" i="3"/>
  <c r="F13" i="3"/>
  <c r="C13" i="3"/>
  <c r="D11" i="3"/>
  <c r="E11" i="3"/>
  <c r="F11" i="3"/>
  <c r="C11" i="3"/>
  <c r="G8" i="3"/>
  <c r="D8" i="3"/>
  <c r="E8" i="3"/>
  <c r="C8" i="3"/>
  <c r="G7" i="3"/>
  <c r="D7" i="3"/>
  <c r="E7" i="3"/>
  <c r="C7" i="3"/>
  <c r="G6" i="3"/>
  <c r="D6" i="3"/>
  <c r="E6" i="3"/>
  <c r="C6" i="3"/>
  <c r="M25" i="9" l="1"/>
  <c r="F22" i="3"/>
  <c r="F42" i="3" s="1"/>
  <c r="L25" i="9"/>
  <c r="C21" i="3"/>
  <c r="C26" i="3" s="1"/>
  <c r="K25" i="9"/>
  <c r="C20" i="3"/>
  <c r="E20" i="3"/>
  <c r="E35" i="3" s="1"/>
  <c r="D20" i="3"/>
  <c r="D30" i="3" s="1"/>
  <c r="G11" i="3"/>
  <c r="G14" i="3"/>
  <c r="G15" i="3"/>
  <c r="G16" i="3"/>
  <c r="G13" i="3"/>
  <c r="F20" i="3"/>
  <c r="F40" i="3" s="1"/>
  <c r="D21" i="3"/>
  <c r="D31" i="3" s="1"/>
  <c r="F21" i="3"/>
  <c r="F41" i="3" s="1"/>
  <c r="E21" i="3"/>
  <c r="E36" i="3" s="1"/>
  <c r="C22" i="3"/>
  <c r="C27" i="3" s="1"/>
  <c r="E22" i="3"/>
  <c r="E37" i="3" s="1"/>
  <c r="D22" i="3"/>
  <c r="D32" i="3" s="1"/>
  <c r="C55" i="9"/>
  <c r="L3" i="9"/>
  <c r="M3" i="9"/>
  <c r="N3" i="9"/>
  <c r="K3" i="9"/>
  <c r="E15" i="9"/>
  <c r="F15" i="9"/>
  <c r="D15" i="9"/>
  <c r="E20" i="8"/>
  <c r="F20" i="8"/>
  <c r="G20" i="8"/>
  <c r="D20" i="8"/>
  <c r="D42" i="8"/>
  <c r="D28" i="8" s="1"/>
  <c r="E42" i="8"/>
  <c r="E28" i="8" s="1"/>
  <c r="F42" i="8"/>
  <c r="F28" i="8" s="1"/>
  <c r="D43" i="8"/>
  <c r="D29" i="8" s="1"/>
  <c r="E43" i="8"/>
  <c r="E29" i="8" s="1"/>
  <c r="F43" i="8"/>
  <c r="F29" i="8" s="1"/>
  <c r="D44" i="8"/>
  <c r="D30" i="8" s="1"/>
  <c r="E44" i="8"/>
  <c r="E30" i="8" s="1"/>
  <c r="F44" i="8"/>
  <c r="E15" i="8"/>
  <c r="F15" i="8"/>
  <c r="G15" i="8"/>
  <c r="D15" i="8"/>
  <c r="E5" i="8"/>
  <c r="F5" i="8"/>
  <c r="G5" i="8"/>
  <c r="D5" i="8"/>
  <c r="K3" i="3"/>
  <c r="L3" i="3"/>
  <c r="M3" i="3"/>
  <c r="N3" i="3"/>
  <c r="C26" i="6"/>
  <c r="D26" i="6" s="1"/>
  <c r="C25" i="6"/>
  <c r="C24" i="6"/>
  <c r="D24" i="6" s="1"/>
  <c r="C4" i="6"/>
  <c r="C28" i="11"/>
  <c r="C9" i="12"/>
  <c r="H25" i="12"/>
  <c r="E45" i="12"/>
  <c r="E44" i="12"/>
  <c r="E43" i="12"/>
  <c r="E42" i="12"/>
  <c r="E41" i="12"/>
  <c r="E40" i="12"/>
  <c r="E39" i="12"/>
  <c r="E38" i="12"/>
  <c r="I25" i="11"/>
  <c r="H25" i="11"/>
  <c r="I24" i="11"/>
  <c r="H24" i="11"/>
  <c r="I23" i="11"/>
  <c r="H23" i="11"/>
  <c r="I22" i="11"/>
  <c r="I20" i="11" s="1"/>
  <c r="H22" i="11"/>
  <c r="I21" i="11"/>
  <c r="H21" i="11"/>
  <c r="H20" i="11" s="1"/>
  <c r="G20" i="11"/>
  <c r="F20" i="11"/>
  <c r="E20" i="11"/>
  <c r="D20" i="11"/>
  <c r="C20" i="11"/>
  <c r="I19" i="11"/>
  <c r="H19" i="11"/>
  <c r="I18" i="11"/>
  <c r="H18" i="11"/>
  <c r="I17" i="11"/>
  <c r="H17" i="11"/>
  <c r="I16" i="11"/>
  <c r="H16" i="11"/>
  <c r="H14" i="11" s="1"/>
  <c r="I15" i="11"/>
  <c r="H15" i="11"/>
  <c r="I14" i="11"/>
  <c r="G14" i="11"/>
  <c r="F14" i="11"/>
  <c r="E14" i="11"/>
  <c r="D14" i="11"/>
  <c r="C14" i="11"/>
  <c r="I13" i="11"/>
  <c r="H13" i="11"/>
  <c r="A13" i="11"/>
  <c r="A14" i="11" s="1"/>
  <c r="A15" i="11" s="1"/>
  <c r="A16" i="11" s="1"/>
  <c r="A17" i="11" s="1"/>
  <c r="A18" i="11" s="1"/>
  <c r="A19" i="11" s="1"/>
  <c r="A20" i="11" s="1"/>
  <c r="A21" i="11" s="1"/>
  <c r="A22" i="11" s="1"/>
  <c r="A23" i="11" s="1"/>
  <c r="A24" i="11" s="1"/>
  <c r="A25" i="11" s="1"/>
  <c r="I12" i="11"/>
  <c r="H12" i="11"/>
  <c r="D3" i="11"/>
  <c r="E3" i="11" s="1"/>
  <c r="F3" i="11" s="1"/>
  <c r="G3" i="11" s="1"/>
  <c r="H3" i="11" s="1"/>
  <c r="I3" i="11" s="1"/>
  <c r="J3" i="11" s="1"/>
  <c r="K3" i="11" s="1"/>
  <c r="L3" i="11" s="1"/>
  <c r="M3" i="11" s="1"/>
  <c r="N3" i="11" s="1"/>
  <c r="O3" i="11" s="1"/>
  <c r="P3" i="11" s="1"/>
  <c r="Q3" i="11" s="1"/>
  <c r="R3" i="11" s="1"/>
  <c r="S3" i="11" s="1"/>
  <c r="T3" i="11" s="1"/>
  <c r="U3" i="11" s="1"/>
  <c r="V3" i="11" s="1"/>
  <c r="W3" i="11" s="1"/>
  <c r="X3" i="11" s="1"/>
  <c r="Y3" i="11" s="1"/>
  <c r="Z3" i="11" s="1"/>
  <c r="AA3" i="11" s="1"/>
  <c r="AB3" i="11" s="1"/>
  <c r="AC3" i="11" s="1"/>
  <c r="AD3" i="11" s="1"/>
  <c r="AE3" i="11" s="1"/>
  <c r="AF3" i="11" s="1"/>
  <c r="AG3" i="11" s="1"/>
  <c r="C5" i="6"/>
  <c r="D5" i="6" s="1"/>
  <c r="C45" i="9"/>
  <c r="E3" i="9"/>
  <c r="F3" i="9"/>
  <c r="G3" i="9"/>
  <c r="D3" i="9"/>
  <c r="C32" i="8"/>
  <c r="E3" i="8"/>
  <c r="F3" i="8"/>
  <c r="G3" i="8"/>
  <c r="D3" i="8"/>
  <c r="D4" i="3"/>
  <c r="E4" i="3"/>
  <c r="G4" i="3"/>
  <c r="C4" i="3"/>
  <c r="D6" i="6"/>
  <c r="E6" i="6"/>
  <c r="F6" i="6"/>
  <c r="C6" i="6"/>
  <c r="D25" i="6" l="1"/>
  <c r="D41" i="8"/>
  <c r="C40" i="3"/>
  <c r="C25" i="3"/>
  <c r="F25" i="9"/>
  <c r="M18" i="9" s="1"/>
  <c r="D25" i="9"/>
  <c r="K18" i="9" s="1"/>
  <c r="E25" i="9"/>
  <c r="L18" i="9" s="1"/>
  <c r="E54" i="8"/>
  <c r="E61" i="8" s="1"/>
  <c r="E41" i="8"/>
  <c r="E27" i="8" s="1"/>
  <c r="F41" i="8"/>
  <c r="F27" i="8" s="1"/>
  <c r="G22" i="3"/>
  <c r="G21" i="3"/>
  <c r="G20" i="3"/>
  <c r="F30" i="8"/>
  <c r="F55" i="8" s="1"/>
  <c r="F62" i="8" s="1"/>
  <c r="D41" i="3"/>
  <c r="D36" i="3"/>
  <c r="C42" i="3"/>
  <c r="C37" i="3"/>
  <c r="C41" i="3"/>
  <c r="C36" i="3"/>
  <c r="C35" i="3"/>
  <c r="F35" i="3"/>
  <c r="E42" i="3"/>
  <c r="F36" i="3"/>
  <c r="D40" i="3"/>
  <c r="D35" i="3"/>
  <c r="F37" i="3"/>
  <c r="D42" i="3"/>
  <c r="D37" i="3"/>
  <c r="E41" i="3"/>
  <c r="E40" i="3"/>
  <c r="C32" i="3"/>
  <c r="C31" i="3"/>
  <c r="C30" i="3"/>
  <c r="F27" i="3"/>
  <c r="F32" i="3"/>
  <c r="D26" i="3"/>
  <c r="F25" i="3"/>
  <c r="F30" i="3"/>
  <c r="E27" i="3"/>
  <c r="E32" i="3"/>
  <c r="F26" i="3"/>
  <c r="F31" i="3"/>
  <c r="D25" i="3"/>
  <c r="D27" i="3"/>
  <c r="E26" i="3"/>
  <c r="E31" i="3"/>
  <c r="E25" i="3"/>
  <c r="E30" i="3"/>
  <c r="F28" i="9"/>
  <c r="F27" i="9"/>
  <c r="F26" i="9"/>
  <c r="D27" i="9"/>
  <c r="E28" i="9"/>
  <c r="E27" i="9"/>
  <c r="E26" i="9"/>
  <c r="D28" i="9"/>
  <c r="D26" i="9"/>
  <c r="D53" i="8"/>
  <c r="D60" i="8" s="1"/>
  <c r="F54" i="8"/>
  <c r="F61" i="8" s="1"/>
  <c r="E53" i="8"/>
  <c r="E60" i="8" s="1"/>
  <c r="F52" i="8"/>
  <c r="F59" i="8" s="1"/>
  <c r="D55" i="8"/>
  <c r="D62" i="8" s="1"/>
  <c r="F53" i="8"/>
  <c r="F60" i="8" s="1"/>
  <c r="E55" i="8"/>
  <c r="E62" i="8" s="1"/>
  <c r="D54" i="8"/>
  <c r="D61" i="8" s="1"/>
  <c r="C32" i="12"/>
  <c r="C25" i="12"/>
  <c r="G25" i="12"/>
  <c r="C18" i="12"/>
  <c r="F25" i="12"/>
  <c r="E25" i="12"/>
  <c r="D25" i="12"/>
  <c r="E52" i="8" l="1"/>
  <c r="E59" i="8" s="1"/>
  <c r="D27" i="8"/>
  <c r="D52" i="8" s="1"/>
  <c r="D59" i="8" s="1"/>
  <c r="G26" i="3"/>
  <c r="G40" i="3"/>
  <c r="D5" i="9" s="1"/>
  <c r="K6" i="9" s="1"/>
  <c r="G42" i="3"/>
  <c r="F5" i="9" s="1"/>
  <c r="G31" i="3"/>
  <c r="G35" i="3"/>
  <c r="G37" i="3"/>
  <c r="G25" i="3"/>
  <c r="G27" i="3"/>
  <c r="G41" i="3"/>
  <c r="E5" i="9" s="1"/>
  <c r="G30" i="3"/>
  <c r="G32" i="3"/>
  <c r="G36" i="3"/>
  <c r="L10" i="3" s="1"/>
  <c r="L18" i="3" s="1"/>
  <c r="L8" i="9"/>
  <c r="E28" i="11"/>
  <c r="F28" i="11"/>
  <c r="C26" i="12"/>
  <c r="C34" i="12" s="1"/>
  <c r="I5" i="6" s="1"/>
  <c r="K5" i="6" s="1"/>
  <c r="M10" i="3" l="1"/>
  <c r="M18" i="3" s="1"/>
  <c r="M26" i="3" s="1"/>
  <c r="K10" i="3"/>
  <c r="K18" i="3" s="1"/>
  <c r="K26" i="3" s="1"/>
  <c r="C64" i="8"/>
  <c r="C65" i="8" s="1"/>
  <c r="C66" i="8" s="1"/>
  <c r="I7" i="6" s="1"/>
  <c r="L26" i="3"/>
  <c r="L14" i="9"/>
  <c r="L40" i="9" s="1"/>
  <c r="L9" i="9"/>
  <c r="L7" i="9"/>
  <c r="K7" i="9"/>
  <c r="M7" i="9"/>
  <c r="L6" i="9"/>
  <c r="L12" i="9" s="1"/>
  <c r="L38" i="9" s="1"/>
  <c r="M6" i="9"/>
  <c r="M12" i="9" s="1"/>
  <c r="M38" i="9" s="1"/>
  <c r="K8" i="9"/>
  <c r="K14" i="9" s="1"/>
  <c r="K40" i="9" s="1"/>
  <c r="M8" i="9"/>
  <c r="M14" i="9" s="1"/>
  <c r="M40" i="9" s="1"/>
  <c r="K9" i="9"/>
  <c r="K15" i="9" s="1"/>
  <c r="K41" i="9" s="1"/>
  <c r="M9" i="9"/>
  <c r="M15" i="9" s="1"/>
  <c r="M41" i="9" s="1"/>
  <c r="C30" i="11"/>
  <c r="C29" i="11"/>
  <c r="L33" i="9" l="1"/>
  <c r="L46" i="9" s="1"/>
  <c r="L13" i="9"/>
  <c r="L39" i="9" s="1"/>
  <c r="K12" i="9"/>
  <c r="K38" i="9" s="1"/>
  <c r="K13" i="9"/>
  <c r="K39" i="9" s="1"/>
  <c r="M13" i="9"/>
  <c r="M39" i="9" s="1"/>
  <c r="J31" i="3"/>
  <c r="J32" i="3" s="1"/>
  <c r="J33" i="3" s="1"/>
  <c r="I6" i="6" s="1"/>
  <c r="K6" i="6" s="1"/>
  <c r="L15" i="9"/>
  <c r="L41" i="9" s="1"/>
  <c r="F29" i="11"/>
  <c r="I10" i="6" s="1"/>
  <c r="L34" i="9" l="1"/>
  <c r="L47" i="9" s="1"/>
  <c r="L52" i="9"/>
  <c r="L60" i="9" s="1"/>
  <c r="L32" i="9"/>
  <c r="L45" i="9" s="1"/>
  <c r="K32" i="9"/>
  <c r="K45" i="9" s="1"/>
  <c r="M32" i="9"/>
  <c r="K31" i="9"/>
  <c r="K44" i="9" s="1"/>
  <c r="K50" i="9" s="1"/>
  <c r="M31" i="9"/>
  <c r="K34" i="9"/>
  <c r="K33" i="9"/>
  <c r="L31" i="9"/>
  <c r="M33" i="9"/>
  <c r="M34" i="9"/>
  <c r="K58" i="9" l="1"/>
  <c r="D12" i="13"/>
  <c r="D22" i="13" s="1"/>
  <c r="E14" i="13"/>
  <c r="E24" i="13" s="1"/>
  <c r="L51" i="9"/>
  <c r="K51" i="9"/>
  <c r="D13" i="13" s="1"/>
  <c r="D23" i="13" s="1"/>
  <c r="M44" i="9"/>
  <c r="K47" i="9"/>
  <c r="M46" i="9"/>
  <c r="M52" i="9" s="1"/>
  <c r="K46" i="9"/>
  <c r="M45" i="9"/>
  <c r="M51" i="9" s="1"/>
  <c r="F13" i="13" s="1"/>
  <c r="F23" i="13" s="1"/>
  <c r="M47" i="9"/>
  <c r="L44" i="9"/>
  <c r="L50" i="9" s="1"/>
  <c r="L53" i="9"/>
  <c r="E15" i="13" s="1"/>
  <c r="E25" i="13" s="1"/>
  <c r="L59" i="9" l="1"/>
  <c r="M50" i="9"/>
  <c r="M53" i="9"/>
  <c r="M61" i="9" s="1"/>
  <c r="K53" i="9"/>
  <c r="K52" i="9"/>
  <c r="D14" i="13" s="1"/>
  <c r="D24" i="13" s="1"/>
  <c r="K59" i="9"/>
  <c r="E13" i="13"/>
  <c r="E23" i="13" s="1"/>
  <c r="M59" i="9"/>
  <c r="L61" i="9"/>
  <c r="E12" i="13"/>
  <c r="E22" i="13" s="1"/>
  <c r="L58" i="9"/>
  <c r="M60" i="9"/>
  <c r="F14" i="13"/>
  <c r="F24" i="13" s="1"/>
  <c r="F12" i="13" l="1"/>
  <c r="M58" i="9"/>
  <c r="K61" i="9"/>
  <c r="D15" i="13"/>
  <c r="D25" i="13" s="1"/>
  <c r="F15" i="13"/>
  <c r="F25" i="13" s="1"/>
  <c r="K60" i="9"/>
  <c r="F22" i="13" l="1"/>
  <c r="D28" i="13" s="1"/>
  <c r="J63" i="9"/>
  <c r="J64" i="9" s="1"/>
  <c r="J65" i="9" s="1"/>
  <c r="I8" i="6" s="1"/>
  <c r="D29" i="13" l="1"/>
  <c r="D30" i="13" s="1"/>
  <c r="I9" i="6" s="1"/>
  <c r="K7" i="6" s="1"/>
  <c r="I11" i="6" l="1"/>
</calcChain>
</file>

<file path=xl/comments1.xml><?xml version="1.0" encoding="utf-8"?>
<comments xmlns="http://schemas.openxmlformats.org/spreadsheetml/2006/main">
  <authors>
    <author>Author</author>
  </authors>
  <commentList>
    <comment ref="B10" authorId="0">
      <text>
        <r>
          <rPr>
            <sz val="8"/>
            <color indexed="81"/>
            <rFont val="Tahoma"/>
            <family val="2"/>
          </rPr>
          <t>Insert the number of animals in each category.</t>
        </r>
      </text>
    </comment>
    <comment ref="B11" authorId="0">
      <text>
        <r>
          <rPr>
            <sz val="8"/>
            <color indexed="81"/>
            <rFont val="Tahoma"/>
            <family val="2"/>
          </rPr>
          <t>Enter the average number of days cattle stayed</t>
        </r>
      </text>
    </comment>
    <comment ref="B12" authorId="0">
      <text>
        <r>
          <rPr>
            <sz val="8"/>
            <color indexed="81"/>
            <rFont val="Tahoma"/>
            <family val="2"/>
          </rPr>
          <t>Specify the average liveweight of your herd for each category.</t>
        </r>
      </text>
    </comment>
    <comment ref="B13" authorId="0">
      <text>
        <r>
          <rPr>
            <sz val="8"/>
            <color indexed="81"/>
            <rFont val="Tahoma"/>
            <family val="2"/>
          </rPr>
          <t>Insert the likely average daily liveweight gain (kg/day) for each class of animal.</t>
        </r>
      </text>
    </comment>
    <comment ref="B14" authorId="0">
      <text>
        <r>
          <rPr>
            <sz val="8"/>
            <color indexed="81"/>
            <rFont val="Tahoma"/>
            <family val="2"/>
          </rPr>
          <t>Enter the dry matter digestibility (DMD) in the feed eaten, not on offer</t>
        </r>
      </text>
    </comment>
    <comment ref="I18" authorId="0">
      <text>
        <r>
          <rPr>
            <sz val="8"/>
            <color indexed="81"/>
            <rFont val="Tahoma"/>
            <family val="2"/>
          </rPr>
          <t>For example, if you are in Gippsland, it is most likely from Victorian Brown Coal. If you deliberately buy power from renewable sources or Green Power, then select the bottom option.
While electricity consumption is not a greenhouse emission at a farm level, it is important to include this to allow you to investigate the impact of increased power use such as for comparing spray irrigation against flood irrigation.</t>
        </r>
      </text>
    </comment>
    <comment ref="B19" authorId="0">
      <text>
        <r>
          <rPr>
            <sz val="8"/>
            <color indexed="81"/>
            <rFont val="Tahoma"/>
            <family val="2"/>
          </rPr>
          <t>Note must add to 1.0</t>
        </r>
      </text>
    </comment>
    <comment ref="I21" authorId="0">
      <text>
        <r>
          <rPr>
            <sz val="8"/>
            <color indexed="81"/>
            <rFont val="Tahoma"/>
            <family val="2"/>
          </rPr>
          <t xml:space="preserve"> If they are not listed then choose the closest species, or just the general heading.</t>
        </r>
      </text>
    </comment>
    <comment ref="I24" authorId="0">
      <text>
        <r>
          <rPr>
            <sz val="8"/>
            <color indexed="81"/>
            <rFont val="Tahoma"/>
            <family val="2"/>
          </rPr>
          <t>Rainfall is just a general guide for the rate of tree growth.</t>
        </r>
      </text>
    </comment>
    <comment ref="B29" authorId="0">
      <text>
        <r>
          <rPr>
            <sz val="8"/>
            <color indexed="81"/>
            <rFont val="Tahoma"/>
            <family val="2"/>
          </rPr>
          <t>Insert the number of animals in each category.</t>
        </r>
      </text>
    </comment>
    <comment ref="B30" authorId="0">
      <text>
        <r>
          <rPr>
            <sz val="8"/>
            <color indexed="81"/>
            <rFont val="Tahoma"/>
            <family val="2"/>
          </rPr>
          <t>Enter the average number of days cattle stayed</t>
        </r>
      </text>
    </comment>
    <comment ref="B31" authorId="0">
      <text>
        <r>
          <rPr>
            <sz val="8"/>
            <color indexed="81"/>
            <rFont val="Tahoma"/>
            <family val="2"/>
          </rPr>
          <t>Specify the average liveweight of your herd for each category.</t>
        </r>
      </text>
    </comment>
    <comment ref="B32" authorId="0">
      <text>
        <r>
          <rPr>
            <sz val="8"/>
            <color indexed="81"/>
            <rFont val="Tahoma"/>
            <family val="2"/>
          </rPr>
          <t>Insert the likely average daily liveweight gain (kg/day) for each class of animal.</t>
        </r>
      </text>
    </comment>
    <comment ref="B33" authorId="0">
      <text>
        <r>
          <rPr>
            <sz val="8"/>
            <color indexed="81"/>
            <rFont val="Tahoma"/>
            <family val="2"/>
          </rPr>
          <t>Enter the dry matter digestibility (DMD) in the feed eaten, not on offer</t>
        </r>
      </text>
    </comment>
    <comment ref="B38" authorId="0">
      <text>
        <r>
          <rPr>
            <sz val="8"/>
            <color indexed="81"/>
            <rFont val="Tahoma"/>
            <family val="2"/>
          </rPr>
          <t>Note must add to 1.0</t>
        </r>
      </text>
    </comment>
    <comment ref="B48" authorId="0">
      <text>
        <r>
          <rPr>
            <sz val="8"/>
            <color indexed="81"/>
            <rFont val="Tahoma"/>
            <family val="2"/>
          </rPr>
          <t>Insert the number of animals in each category.</t>
        </r>
      </text>
    </comment>
    <comment ref="B49" authorId="0">
      <text>
        <r>
          <rPr>
            <sz val="8"/>
            <color indexed="81"/>
            <rFont val="Tahoma"/>
            <family val="2"/>
          </rPr>
          <t>Enter the average number of days cattle stayed</t>
        </r>
      </text>
    </comment>
    <comment ref="B50" authorId="0">
      <text>
        <r>
          <rPr>
            <sz val="8"/>
            <color indexed="81"/>
            <rFont val="Tahoma"/>
            <family val="2"/>
          </rPr>
          <t>Specify the average liveweight of your herd for each category.</t>
        </r>
      </text>
    </comment>
    <comment ref="B51" authorId="0">
      <text>
        <r>
          <rPr>
            <sz val="8"/>
            <color indexed="81"/>
            <rFont val="Tahoma"/>
            <family val="2"/>
          </rPr>
          <t>Insert the likely average daily liveweight gain (kg/day) for each class of animal.</t>
        </r>
      </text>
    </comment>
    <comment ref="B52" authorId="0">
      <text>
        <r>
          <rPr>
            <sz val="8"/>
            <color indexed="81"/>
            <rFont val="Tahoma"/>
            <family val="2"/>
          </rPr>
          <t>Enter the dry matter digestibility (DMD) in the feed eaten, not on offer</t>
        </r>
      </text>
    </comment>
    <comment ref="B57" authorId="0">
      <text>
        <r>
          <rPr>
            <sz val="8"/>
            <color indexed="81"/>
            <rFont val="Tahoma"/>
            <family val="2"/>
          </rPr>
          <t>Note must add to 1.0</t>
        </r>
      </text>
    </comment>
    <comment ref="B67" authorId="0">
      <text>
        <r>
          <rPr>
            <sz val="8"/>
            <color indexed="81"/>
            <rFont val="Tahoma"/>
            <family val="2"/>
          </rPr>
          <t>Insert the number of animals in each category.</t>
        </r>
      </text>
    </comment>
    <comment ref="B68" authorId="0">
      <text>
        <r>
          <rPr>
            <sz val="8"/>
            <color indexed="81"/>
            <rFont val="Tahoma"/>
            <family val="2"/>
          </rPr>
          <t>Enter the average number of days cattle stayed</t>
        </r>
      </text>
    </comment>
    <comment ref="B69" authorId="0">
      <text>
        <r>
          <rPr>
            <sz val="8"/>
            <color indexed="81"/>
            <rFont val="Tahoma"/>
            <family val="2"/>
          </rPr>
          <t>Specify the average liveweight of your herd for each category.</t>
        </r>
      </text>
    </comment>
    <comment ref="B70" authorId="0">
      <text>
        <r>
          <rPr>
            <sz val="8"/>
            <color indexed="81"/>
            <rFont val="Tahoma"/>
            <family val="2"/>
          </rPr>
          <t>Insert the likely average daily liveweight gain (kg/day) for each class of animal.</t>
        </r>
      </text>
    </comment>
    <comment ref="B71" authorId="0">
      <text>
        <r>
          <rPr>
            <sz val="8"/>
            <color indexed="81"/>
            <rFont val="Tahoma"/>
            <family val="2"/>
          </rPr>
          <t>Enter the dry matter digestibility (DMD) in the feed eaten, not on offer</t>
        </r>
      </text>
    </comment>
    <comment ref="B76" authorId="0">
      <text>
        <r>
          <rPr>
            <sz val="8"/>
            <color indexed="81"/>
            <rFont val="Tahoma"/>
            <family val="2"/>
          </rPr>
          <t>Note must add to 1.0</t>
        </r>
      </text>
    </comment>
    <comment ref="B84" authorId="0">
      <text>
        <r>
          <rPr>
            <sz val="8"/>
            <color indexed="81"/>
            <rFont val="Tahoma"/>
            <family val="2"/>
          </rPr>
          <t>How many litres of diesel did the farm use last year?</t>
        </r>
      </text>
    </comment>
    <comment ref="B85" authorId="0">
      <text>
        <r>
          <rPr>
            <sz val="8"/>
            <color indexed="81"/>
            <rFont val="Tahoma"/>
            <family val="2"/>
          </rPr>
          <t>What was your total annual electricity bill for the year in KWh?</t>
        </r>
      </text>
    </comment>
    <comment ref="B86" authorId="0">
      <text>
        <r>
          <rPr>
            <sz val="8"/>
            <color indexed="81"/>
            <rFont val="Tahoma"/>
            <family val="2"/>
          </rPr>
          <t>This allows for the evaluation of the carbon sequestration impact if planting trees on the farm. If you don't want this comparison, then set the area to zero.</t>
        </r>
      </text>
    </comment>
  </commentList>
</comments>
</file>

<file path=xl/comments2.xml><?xml version="1.0" encoding="utf-8"?>
<comments xmlns="http://schemas.openxmlformats.org/spreadsheetml/2006/main">
  <authors>
    <author>Author</author>
  </authors>
  <commentList>
    <comment ref="B32" authorId="0">
      <text>
        <r>
          <rPr>
            <sz val="8"/>
            <color indexed="81"/>
            <rFont val="Tahoma"/>
            <family val="2"/>
          </rPr>
          <t>IPCC drylot MCF value for 'warm' regions used for Queensland and Northern Territory (5%) and MCF value for 'temperate' regions used for all other states (1.5%)</t>
        </r>
      </text>
    </comment>
  </commentList>
</comments>
</file>

<file path=xl/comments3.xml><?xml version="1.0" encoding="utf-8"?>
<comments xmlns="http://schemas.openxmlformats.org/spreadsheetml/2006/main">
  <authors>
    <author>Author</author>
  </authors>
  <commentList>
    <comment ref="D9" authorId="0">
      <text>
        <r>
          <rPr>
            <sz val="8"/>
            <color indexed="81"/>
            <rFont val="Tahoma"/>
            <family val="2"/>
          </rPr>
          <t>MMS = 100%  manure is dry packed</t>
        </r>
      </text>
    </comment>
  </commentList>
</comments>
</file>

<file path=xl/comments4.xml><?xml version="1.0" encoding="utf-8"?>
<comments xmlns="http://schemas.openxmlformats.org/spreadsheetml/2006/main">
  <authors>
    <author>Author</author>
  </authors>
  <commentList>
    <comment ref="H22" authorId="0">
      <text>
        <r>
          <rPr>
            <sz val="8"/>
            <color indexed="81"/>
            <rFont val="Tahoma"/>
            <family val="2"/>
          </rPr>
          <t>0.085 Gg SO2/PJ</t>
        </r>
      </text>
    </comment>
    <comment ref="B38" authorId="0">
      <text>
        <r>
          <rPr>
            <sz val="8"/>
            <color indexed="81"/>
            <rFont val="Tahoma"/>
            <family val="2"/>
          </rPr>
          <t>SO2 Emission factor = 0.37 Gg SO2/PJ</t>
        </r>
      </text>
    </comment>
    <comment ref="C38" authorId="0">
      <text>
        <r>
          <rPr>
            <sz val="8"/>
            <color indexed="81"/>
            <rFont val="Tahoma"/>
            <family val="2"/>
          </rPr>
          <t>30% would be average</t>
        </r>
      </text>
    </comment>
    <comment ref="D38" authorId="0">
      <text>
        <r>
          <rPr>
            <sz val="8"/>
            <color indexed="81"/>
            <rFont val="Tahoma"/>
            <family val="2"/>
          </rPr>
          <t>1000 average</t>
        </r>
      </text>
    </comment>
    <comment ref="B39" authorId="0">
      <text>
        <r>
          <rPr>
            <sz val="8"/>
            <color indexed="81"/>
            <rFont val="Tahoma"/>
            <family val="2"/>
          </rPr>
          <t>SO2 Emission factor = 0.15 Gg SO2/PJ</t>
        </r>
      </text>
    </comment>
    <comment ref="C39" authorId="0">
      <text>
        <r>
          <rPr>
            <sz val="8"/>
            <color indexed="81"/>
            <rFont val="Tahoma"/>
            <family val="2"/>
          </rPr>
          <t>25% average</t>
        </r>
      </text>
    </comment>
    <comment ref="D39" authorId="0">
      <text>
        <r>
          <rPr>
            <sz val="8"/>
            <color indexed="81"/>
            <rFont val="Tahoma"/>
            <family val="2"/>
          </rPr>
          <t>1400 average</t>
        </r>
      </text>
    </comment>
  </commentList>
</comments>
</file>

<file path=xl/sharedStrings.xml><?xml version="1.0" encoding="utf-8"?>
<sst xmlns="http://schemas.openxmlformats.org/spreadsheetml/2006/main" count="760" uniqueCount="307">
  <si>
    <t>This tool may be of assistance to you, but the University of Melbourne and the State of Victoria and its employees do not guarantee that the tool or information contained therein is without flaw of any kind, or is wholly appropriate for your particular purposes and therefore disclaims all liability for any error, loss or other consequence which may arise from reliance on any information contained herein.
Please Note:
a) These methods are continually changing, so we take no responsibility for the currency of the tool, and
b) Professional advice should be sought on the interpretation of the results.</t>
  </si>
  <si>
    <t>Introduction</t>
  </si>
  <si>
    <t>The model is based on the Australian National Greenhouse Gas Inventory method, as published on the Australian Government Department of Climate Change and Energy Efficiency in April 2012. For more information, click on the link below:</t>
  </si>
  <si>
    <t>http://www.climatechange.gov.au/en/publications/greenhouse-acctg/~/media/publications/greenhouse-acctg/NationalInventoryReport-2010-Vol-1.pdf</t>
  </si>
  <si>
    <r>
      <t xml:space="preserve">     - Methane (CH</t>
    </r>
    <r>
      <rPr>
        <u/>
        <vertAlign val="subscript"/>
        <sz val="14"/>
        <color indexed="12"/>
        <rFont val="Times New Roman"/>
        <family val="1"/>
      </rPr>
      <t>4</t>
    </r>
    <r>
      <rPr>
        <u/>
        <sz val="14"/>
        <color indexed="12"/>
        <rFont val="Times New Roman"/>
        <family val="1"/>
      </rPr>
      <t>)</t>
    </r>
  </si>
  <si>
    <r>
      <t xml:space="preserve">     - Nitrous oxide (N</t>
    </r>
    <r>
      <rPr>
        <u/>
        <vertAlign val="subscript"/>
        <sz val="14"/>
        <color indexed="12"/>
        <rFont val="Times New Roman"/>
        <family val="1"/>
      </rPr>
      <t>2</t>
    </r>
    <r>
      <rPr>
        <u/>
        <sz val="14"/>
        <color indexed="12"/>
        <rFont val="Times New Roman"/>
        <family val="1"/>
      </rPr>
      <t>O)</t>
    </r>
  </si>
  <si>
    <r>
      <t xml:space="preserve">     - Carbon dioxide (CO</t>
    </r>
    <r>
      <rPr>
        <u/>
        <vertAlign val="subscript"/>
        <sz val="14"/>
        <color indexed="12"/>
        <rFont val="Times New Roman"/>
        <family val="1"/>
      </rPr>
      <t>2</t>
    </r>
    <r>
      <rPr>
        <u/>
        <sz val="14"/>
        <color indexed="12"/>
        <rFont val="Times New Roman"/>
        <family val="1"/>
      </rPr>
      <t>)</t>
    </r>
  </si>
  <si>
    <r>
      <t>Methane (CH</t>
    </r>
    <r>
      <rPr>
        <b/>
        <vertAlign val="subscript"/>
        <sz val="14"/>
        <rFont val="Times New Roman"/>
        <family val="1"/>
      </rPr>
      <t>4</t>
    </r>
    <r>
      <rPr>
        <b/>
        <sz val="14"/>
        <rFont val="Times New Roman"/>
        <family val="1"/>
      </rPr>
      <t>)</t>
    </r>
  </si>
  <si>
    <t xml:space="preserve">Methane emissions from livestock systems are considered as energy loss in the system. This means that if they are not released from the animal body, they can be re-gained in animal products such as milk and meat, leading to improved productivity. The main factors affecting methane production are feed type and quality, level of feed intake, and type, sex and  age of the animal. Enteric methane production is minimised by feeding high quality forages (perennial ryegrass/white clover pasture), particularly where the protein to energy ratio in the ration has been balanced through supplementary feeding strategies. Any mitigation strategy, however, according to the current policy requirements (Carbon Farming Initiative, CFI 2010), must lead to reduced emissions beyond what is common practice in a sector. For other policy requirements and more information, visit Australian Government Department of Climate Change and Energy Efficiency website or refer to CFI consultation paper.                                                                                                                                                                                                                                                                                                            
</t>
  </si>
  <si>
    <r>
      <t xml:space="preserve">Strategies to reduce enteric methane production include:
</t>
    </r>
    <r>
      <rPr>
        <b/>
        <sz val="14"/>
        <rFont val="Times New Roman"/>
        <family val="1"/>
      </rPr>
      <t xml:space="preserve">1. Animal manipulation : </t>
    </r>
    <r>
      <rPr>
        <sz val="14"/>
        <rFont val="Times New Roman"/>
        <family val="1"/>
      </rPr>
      <t xml:space="preserve">Breeding animals with greater feed-conversion efficiency may reduce CH4 emissions from cows.
</t>
    </r>
  </si>
  <si>
    <r>
      <rPr>
        <b/>
        <sz val="14"/>
        <rFont val="Times New Roman"/>
        <family val="1"/>
      </rPr>
      <t xml:space="preserve">2. Diet manipulation : </t>
    </r>
    <r>
      <rPr>
        <sz val="14"/>
        <rFont val="Times New Roman"/>
        <family val="1"/>
      </rPr>
      <t>Higher amount of forage to concentrate ratio determines a higher amount of acetate to propionate ratio and therefore higher CH4 productions. Dietary fats are used to reduce CH4 emissions. Addition of fat is limited to 6-7% of the dietary dry matter (DM) in order not to cause reductions in DM intake (DMI). Note that it is not widely acknowledged whether the reductions via fat supplementation are permanent over the whole production period</t>
    </r>
  </si>
  <si>
    <r>
      <rPr>
        <b/>
        <sz val="14"/>
        <rFont val="Times New Roman"/>
        <family val="1"/>
      </rPr>
      <t xml:space="preserve">3. Rumen manipulation : </t>
    </r>
    <r>
      <rPr>
        <sz val="14"/>
        <rFont val="Times New Roman"/>
        <family val="1"/>
      </rPr>
      <t>This may include vaccination against methanogens, or bacteriophages or bacteriocins as biological control strategies, or monensin as antibiotic. The use of probiotics, Archaeal viruses, reductive acetogens, methane oxidisers and propionate enhancers are new promising strategies to reduce CH4 emissions from dairy cows. However, their in-vivo assessment requires further research.</t>
    </r>
  </si>
  <si>
    <r>
      <t>Nitrous oxide (N</t>
    </r>
    <r>
      <rPr>
        <b/>
        <vertAlign val="subscript"/>
        <sz val="14"/>
        <rFont val="Times New Roman"/>
        <family val="1"/>
      </rPr>
      <t>2</t>
    </r>
    <r>
      <rPr>
        <b/>
        <sz val="14"/>
        <rFont val="Times New Roman"/>
        <family val="1"/>
      </rPr>
      <t>O)</t>
    </r>
  </si>
  <si>
    <t xml:space="preserve">     - Direct emissions from N fertiliser application (both synthetic and organic), and animal waste deposition (faeces and urine), and</t>
  </si>
  <si>
    <t xml:space="preserve">     - Indirect emissions from ammonia volatilisation and nitrate leaching &amp; runoff</t>
  </si>
  <si>
    <t>Farmers should consider strategic fertiliser management practices in order to reduce or maintain their total N2O emissions. It is important to remember that responses to N fertiliser will vary according to season and the fertiliser application rate. N fertiliser should only be applied when the pasture is actively growing and can utilise the N. A moderate level of N fertiliser application is recommended to be around 50 kg N/ha in any single application. The optimum time to apply N fertiliser is usually the period from grazing up to a maximum two weeks after grazing. Some of the factors that limit the pasture growth rate and sward quality and therefore reduce the responses to N fertiliser are soil type, low soil fertility, cold and excessively wet or dry weather conditions.</t>
  </si>
  <si>
    <r>
      <t>Carbon dioxide (CO</t>
    </r>
    <r>
      <rPr>
        <b/>
        <vertAlign val="subscript"/>
        <sz val="14"/>
        <rFont val="Times New Roman"/>
        <family val="1"/>
      </rPr>
      <t>2</t>
    </r>
    <r>
      <rPr>
        <b/>
        <sz val="14"/>
        <rFont val="Times New Roman"/>
        <family val="1"/>
      </rPr>
      <t>)</t>
    </r>
  </si>
  <si>
    <t>Planting trees and carbon sequestration</t>
  </si>
  <si>
    <t xml:space="preserve">To allow users to explore the value of planting trees, an option is included in the model to choose the type of trees and the rainfall zone, with the total carbon removed by trees being subtracted off the farm greenhouse gas emission total. Remember, this is a guide only, as actual tree growth depends on the local growing conditions and the carbon sequestered varies with the age of the plantation. </t>
  </si>
  <si>
    <t>The objective of this tool is to create awareness of the various sources of greenhouse gas emissions on feedlot cattle farms, to stimulate thinking and action aimed at reducing these emissions while further improving farming efficiency.</t>
  </si>
  <si>
    <t>By entering in some simple data, which most feedlot cattle farmers are likely to know, the model presents the user with a greenhouse gas emission profile for their farm. The model also then breaks down these greenhouse gas emissions into the various sources, and where they are coming from on the farm. The user can then conduct some "What if" scenarios, to explore the greenhouse gas impact of changes to farm management.</t>
  </si>
  <si>
    <t>The three main greenhouse gasses (GHG) emitted at a feedlot cattle farm scale and contribute to global warming are:</t>
  </si>
  <si>
    <t xml:space="preserve">Methane is the major GHG produced at feedlot cattle farms and is primarily sourced from:
1. Enteric fermentation and
2. Manure management.  
</t>
  </si>
  <si>
    <r>
      <t xml:space="preserve"> N</t>
    </r>
    <r>
      <rPr>
        <vertAlign val="subscript"/>
        <sz val="14"/>
        <rFont val="Times New Roman"/>
        <family val="1"/>
      </rPr>
      <t>2</t>
    </r>
    <r>
      <rPr>
        <sz val="14"/>
        <rFont val="Times New Roman"/>
        <family val="1"/>
      </rPr>
      <t xml:space="preserve">O emissions in feedlot cattle farms are sourced primarily from: </t>
    </r>
  </si>
  <si>
    <t>The total N2O emissions on feedlot cattle farms are directly related to fertiliser and manure application rates. When intensive N fertilisers are applied but not utilised by plant growth, the proportion of N that is not utilised is lost to the environment through volatilisation, leaching and/or denitrification, producing various forms of N such as NH3, NO3 and N2O. Under grazing conditions, the major source of NH3 volatilisation is assumed to derive from urine. Denitrification rate, and thus N2O emissions, are maximised in warm and waterlogged soils, with liberal soil nitrate present. In the current calculator, all dairy farmers are assumed to receive enough water to leach (through either irrigation or farming in high rainfall areas).</t>
  </si>
  <si>
    <r>
      <t>Direct CO</t>
    </r>
    <r>
      <rPr>
        <vertAlign val="subscript"/>
        <sz val="14"/>
        <rFont val="Times New Roman"/>
        <family val="1"/>
      </rPr>
      <t>2</t>
    </r>
    <r>
      <rPr>
        <sz val="14"/>
        <rFont val="Times New Roman"/>
        <family val="1"/>
      </rPr>
      <t xml:space="preserve"> emissions from feedlot cattle farms are mainly sourced from diesel and electricity consumption.</t>
    </r>
  </si>
  <si>
    <t>Note no input can be made from this page - to input your data go to the Data Input tab</t>
  </si>
  <si>
    <t>Farm Name</t>
  </si>
  <si>
    <t>Outputs</t>
  </si>
  <si>
    <t>Summary</t>
  </si>
  <si>
    <t>Herd Information</t>
  </si>
  <si>
    <t>Units</t>
  </si>
  <si>
    <r>
      <t>CO</t>
    </r>
    <r>
      <rPr>
        <vertAlign val="subscript"/>
        <sz val="11"/>
        <rFont val="Times New Roman"/>
        <family val="1"/>
      </rPr>
      <t>2</t>
    </r>
    <r>
      <rPr>
        <sz val="11"/>
        <rFont val="Times New Roman"/>
        <family val="1"/>
      </rPr>
      <t xml:space="preserve"> -Energy</t>
    </r>
  </si>
  <si>
    <r>
      <t>CO</t>
    </r>
    <r>
      <rPr>
        <vertAlign val="subscript"/>
        <sz val="11"/>
        <rFont val="Times New Roman"/>
        <family val="1"/>
      </rPr>
      <t>2</t>
    </r>
  </si>
  <si>
    <r>
      <t>CH</t>
    </r>
    <r>
      <rPr>
        <vertAlign val="subscript"/>
        <sz val="11"/>
        <rFont val="Times New Roman"/>
        <family val="1"/>
      </rPr>
      <t>4</t>
    </r>
    <r>
      <rPr>
        <sz val="11"/>
        <rFont val="Times New Roman"/>
        <family val="1"/>
      </rPr>
      <t xml:space="preserve"> - Enteric</t>
    </r>
  </si>
  <si>
    <r>
      <t>CH</t>
    </r>
    <r>
      <rPr>
        <vertAlign val="subscript"/>
        <sz val="11"/>
        <rFont val="Times New Roman"/>
        <family val="1"/>
      </rPr>
      <t>4</t>
    </r>
  </si>
  <si>
    <r>
      <t>CH</t>
    </r>
    <r>
      <rPr>
        <vertAlign val="subscript"/>
        <sz val="11"/>
        <rFont val="Times New Roman"/>
        <family val="1"/>
      </rPr>
      <t>4</t>
    </r>
    <r>
      <rPr>
        <sz val="11"/>
        <rFont val="Times New Roman"/>
        <family val="1"/>
      </rPr>
      <t xml:space="preserve"> - Manure</t>
    </r>
  </si>
  <si>
    <r>
      <t>N</t>
    </r>
    <r>
      <rPr>
        <vertAlign val="subscript"/>
        <sz val="11"/>
        <rFont val="Times New Roman"/>
        <family val="1"/>
      </rPr>
      <t>2</t>
    </r>
    <r>
      <rPr>
        <sz val="11"/>
        <rFont val="Times New Roman"/>
        <family val="1"/>
      </rPr>
      <t>O</t>
    </r>
  </si>
  <si>
    <t>Tree plantings (after 1990)</t>
  </si>
  <si>
    <t>ha</t>
  </si>
  <si>
    <t>Net Farm Emissions</t>
  </si>
  <si>
    <t>Annual Diesel Consumption</t>
  </si>
  <si>
    <t>litres/year</t>
  </si>
  <si>
    <t>Annual Electricity Use</t>
  </si>
  <si>
    <t>KWh</t>
  </si>
  <si>
    <t>Power Source</t>
  </si>
  <si>
    <t>Area of Trees Planted after 1990</t>
  </si>
  <si>
    <t>Type of Trees planted</t>
  </si>
  <si>
    <t>Rainfall</t>
  </si>
  <si>
    <t>Farm name:</t>
  </si>
  <si>
    <t>Joe Bloggs</t>
  </si>
  <si>
    <t>NSW/ACT</t>
  </si>
  <si>
    <t>head</t>
  </si>
  <si>
    <t>Tasmania</t>
  </si>
  <si>
    <t>SA</t>
  </si>
  <si>
    <t>Choose your region in Australia</t>
  </si>
  <si>
    <t>VIC</t>
  </si>
  <si>
    <t>QLD</t>
  </si>
  <si>
    <t>NT</t>
  </si>
  <si>
    <t>kg/day</t>
  </si>
  <si>
    <t>%</t>
  </si>
  <si>
    <t>Where does the farm draw its electricity from?</t>
  </si>
  <si>
    <t>ME from DMD</t>
  </si>
  <si>
    <t>Choose the type of trees planted</t>
  </si>
  <si>
    <t>Chose rainfall in your area</t>
  </si>
  <si>
    <t>kg/head/day</t>
  </si>
  <si>
    <t>WA</t>
  </si>
  <si>
    <t>Domestic</t>
  </si>
  <si>
    <t>Export</t>
  </si>
  <si>
    <t>Japan ox</t>
  </si>
  <si>
    <t>Methane emissions from rumen fermentation</t>
  </si>
  <si>
    <t>Inventory reference</t>
  </si>
  <si>
    <t>Daily methane yields (Y)</t>
  </si>
  <si>
    <t>Y = 3.406 + 0.510 x SR + 1.736 x H + 2.648 x C</t>
  </si>
  <si>
    <t>4A.1c_1</t>
  </si>
  <si>
    <t>SR = intake of soluble residue</t>
  </si>
  <si>
    <t>H = intake of hemicellulose</t>
  </si>
  <si>
    <t>C = intake of cellulose</t>
  </si>
  <si>
    <t>Proportion of feed components</t>
  </si>
  <si>
    <t>Total grain (inc molasses)</t>
  </si>
  <si>
    <t>Other concentrates</t>
  </si>
  <si>
    <t>Grasses</t>
  </si>
  <si>
    <t>Legumes</t>
  </si>
  <si>
    <t>Composition of feed components</t>
  </si>
  <si>
    <t>Cellulose</t>
  </si>
  <si>
    <t>Hemicellulose</t>
  </si>
  <si>
    <t>Soluble residue</t>
  </si>
  <si>
    <t>Nitrogen</t>
  </si>
  <si>
    <t>Intake of feed components</t>
  </si>
  <si>
    <t>Data input</t>
  </si>
  <si>
    <t>MJ CH4/head/day</t>
  </si>
  <si>
    <t>Total daily methane production</t>
  </si>
  <si>
    <t>M = Y / F</t>
  </si>
  <si>
    <t>4A.1c_2</t>
  </si>
  <si>
    <t>F</t>
  </si>
  <si>
    <t>MJ/kg CH4</t>
  </si>
  <si>
    <t>kg CH4/head/day</t>
  </si>
  <si>
    <t>4A.1c_3</t>
  </si>
  <si>
    <t>Grand total</t>
  </si>
  <si>
    <t>t CO2-e</t>
  </si>
  <si>
    <t>kg/head</t>
  </si>
  <si>
    <t xml:space="preserve">Methane emissions from manure in the field </t>
  </si>
  <si>
    <t>Dry matter digestibility (DMD)</t>
  </si>
  <si>
    <t>Volatile solid production for beef cattle in feedlots (VS)</t>
  </si>
  <si>
    <t>VS = I x (1 - DMD) x (1 - A)</t>
  </si>
  <si>
    <t>4B.1c_1</t>
  </si>
  <si>
    <t>Livestock numbers (N)</t>
  </si>
  <si>
    <t>Dry matter intake (I)</t>
  </si>
  <si>
    <t>Table 6.C.2</t>
  </si>
  <si>
    <t>Methane production from manure (M)</t>
  </si>
  <si>
    <t>M = VS x B x MCF x r</t>
  </si>
  <si>
    <t>4B.1c_2</t>
  </si>
  <si>
    <t>B = emission potential</t>
  </si>
  <si>
    <t>Emission potential (B)</t>
  </si>
  <si>
    <t>0.17m^3 CH4/kg VS</t>
  </si>
  <si>
    <t>MCF = Methane conversion factor</t>
  </si>
  <si>
    <t>Methane conversion factor (MCF)</t>
  </si>
  <si>
    <t>Warm</t>
  </si>
  <si>
    <t>Cool</t>
  </si>
  <si>
    <t>r = density of methane</t>
  </si>
  <si>
    <t>Density of methane r</t>
  </si>
  <si>
    <t>kg/m^3</t>
  </si>
  <si>
    <t>4B.1c_3</t>
  </si>
  <si>
    <t>Gg CH4/farm/year</t>
  </si>
  <si>
    <t>t CO2-e/farm/year</t>
  </si>
  <si>
    <t>Nitrous oxide emissions from different manure management systems (MMS)</t>
  </si>
  <si>
    <t xml:space="preserve">Crude protein intake (CPI) </t>
  </si>
  <si>
    <t>CPI = NI x 6.25</t>
  </si>
  <si>
    <t>4B.1c_4</t>
  </si>
  <si>
    <t>Nitrogen excreted in faeces (F)</t>
  </si>
  <si>
    <t>F = {0.3 x (CPI x (1 - [(DMD + 10) / 100])) + 0.105 x (ME x I x 0.008) + (0.0152 x I)} / 6.25</t>
  </si>
  <si>
    <t>4B.1c_5</t>
  </si>
  <si>
    <t>The amount of nitrogen retained by the body (NR)</t>
  </si>
  <si>
    <t>L = I / (1.185 + 0.00454 x W - 0.0000026 W^2 + (0.315 x 0))^2</t>
  </si>
  <si>
    <t>Liveweight (W)</t>
  </si>
  <si>
    <t>Intake relative to maintenance (L)</t>
  </si>
  <si>
    <t>Relative size (Z)</t>
  </si>
  <si>
    <t>Standard reference weight (SRW)</t>
  </si>
  <si>
    <t>Steers &gt; 1</t>
  </si>
  <si>
    <t>Selected</t>
  </si>
  <si>
    <t>NR = {0.212 - 0.008 x (L - 2) - [(0.140 - 0.008 x (L - 2)) / (1 + exp x (-6 x (Z -0.4)))]} x (LWG x 0.92) / 6.25</t>
  </si>
  <si>
    <t>Liveweight gain (LWG)</t>
  </si>
  <si>
    <t>Nitrogen excreted in urine (U)</t>
  </si>
  <si>
    <t>U = (CPI / 6.25) - NR - F - [(1.1 x 10^-4 x W^0.75) / 6.25]</t>
  </si>
  <si>
    <t>4B.1c_6</t>
  </si>
  <si>
    <t>4B.1c_7</t>
  </si>
  <si>
    <t>4B.1c_8a</t>
  </si>
  <si>
    <t>Total annual urinary nitrogen excreted (AU)</t>
  </si>
  <si>
    <t>4B.1c_8b</t>
  </si>
  <si>
    <t>Total faecal and urinary nitrogen excreted (AE)</t>
  </si>
  <si>
    <t>AE = AF + AU</t>
  </si>
  <si>
    <t>MMS = 4 Solid storage and drylot</t>
  </si>
  <si>
    <t>MMS =100% in the case of feedlot cattle all manure is dry packed</t>
  </si>
  <si>
    <t>EF = emission factor</t>
  </si>
  <si>
    <t>Table 6.12</t>
  </si>
  <si>
    <t>E = AE x MMS x EF x Cg</t>
  </si>
  <si>
    <t>Factor to convert elemental mass of N2O to molecular mass (Cg)</t>
  </si>
  <si>
    <t>Gg N2O/farm/year</t>
  </si>
  <si>
    <t>4B.1c_9c</t>
  </si>
  <si>
    <t>Nitrous Oxide production from agricultural soils</t>
  </si>
  <si>
    <t>Data Input</t>
  </si>
  <si>
    <t>Seasons</t>
  </si>
  <si>
    <t>EF = Emission factor</t>
  </si>
  <si>
    <t>Gg N2O-N/Gg N</t>
  </si>
  <si>
    <t>Total</t>
  </si>
  <si>
    <t>Gg CO2-e/farm/year</t>
  </si>
  <si>
    <t>Gg N</t>
  </si>
  <si>
    <t>E = M x EF x Cg</t>
  </si>
  <si>
    <t>Gg N2O</t>
  </si>
  <si>
    <t>Gg N2O/farm/season</t>
  </si>
  <si>
    <t>Gg N/farm/season</t>
  </si>
  <si>
    <t>M = AE x MMS x FracGASM</t>
  </si>
  <si>
    <t>4D3_2</t>
  </si>
  <si>
    <t>FracGASM = the fraction of N volatilised in each MMS</t>
  </si>
  <si>
    <t>Table 6.31</t>
  </si>
  <si>
    <t>Annual N2O production from atmospheric deposition (indirect ammonia)</t>
  </si>
  <si>
    <t>4D3_4</t>
  </si>
  <si>
    <t>M = mass of N volatilised from subset k</t>
  </si>
  <si>
    <t>Animal waste</t>
  </si>
  <si>
    <t>Total CO2-e emissions from indirect ammonia losses</t>
  </si>
  <si>
    <r>
      <t>t CO</t>
    </r>
    <r>
      <rPr>
        <b/>
        <vertAlign val="subscript"/>
        <sz val="11"/>
        <rFont val="Times New Roman"/>
        <family val="1"/>
      </rPr>
      <t>2</t>
    </r>
    <r>
      <rPr>
        <b/>
        <sz val="11"/>
        <rFont val="Times New Roman"/>
        <family val="1"/>
      </rPr>
      <t>e/farm</t>
    </r>
  </si>
  <si>
    <t>State</t>
  </si>
  <si>
    <t>Carbon sequestration potential of trees</t>
  </si>
  <si>
    <t>Years</t>
  </si>
  <si>
    <t>High</t>
  </si>
  <si>
    <t>Med-High</t>
  </si>
  <si>
    <t>Med</t>
  </si>
  <si>
    <t>Med-Low</t>
  </si>
  <si>
    <t>Low</t>
  </si>
  <si>
    <t>from</t>
  </si>
  <si>
    <t>to</t>
  </si>
  <si>
    <t>weight</t>
  </si>
  <si>
    <t>C content</t>
  </si>
  <si>
    <t>mm/yr</t>
  </si>
  <si>
    <t>m3/ha/yr</t>
  </si>
  <si>
    <t>dry-tonne/ m3</t>
  </si>
  <si>
    <t>t CO2e/ha</t>
  </si>
  <si>
    <t>Softwoods</t>
  </si>
  <si>
    <t>Pinus Radiata - Pine</t>
  </si>
  <si>
    <t>Hardwood</t>
  </si>
  <si>
    <t>Eucalyptus globulus - Blue gum</t>
  </si>
  <si>
    <t>Eucalyptus nitens - Shining gum</t>
  </si>
  <si>
    <t>Eucalyptus saligna - Sydney blue gum</t>
  </si>
  <si>
    <t>Eucalyptus grandis - Rose gum</t>
  </si>
  <si>
    <t>Comybia maculata - Spotted gum</t>
  </si>
  <si>
    <t>Speciality Hardwoods</t>
  </si>
  <si>
    <t>Acacia melanoxylon - Blackwood</t>
  </si>
  <si>
    <t>Eucalyptus camaldulensis - River red gum</t>
  </si>
  <si>
    <t>Eucalyptus sideroxylon - Ironbark</t>
  </si>
  <si>
    <t>Eucalyptus cladocalyx - Sugar gum</t>
  </si>
  <si>
    <t>Casuarina cunninghamiana - She oak</t>
  </si>
  <si>
    <t>Rainfall Selection</t>
  </si>
  <si>
    <t>Results</t>
  </si>
  <si>
    <t>High (&gt;700)</t>
  </si>
  <si>
    <t>Med (500 - 700)</t>
  </si>
  <si>
    <t>Low (&lt;500)</t>
  </si>
  <si>
    <t>Energy - Fuel and Electricity</t>
  </si>
  <si>
    <t>Annual diesel consumption (F)</t>
  </si>
  <si>
    <t>L/year</t>
  </si>
  <si>
    <t>Energy density for diesel (D)</t>
  </si>
  <si>
    <t>Gg/kL</t>
  </si>
  <si>
    <t>Oxidation factor for CO2 (P)</t>
  </si>
  <si>
    <t>Emission factor for CO2 (ADO) (EF)</t>
  </si>
  <si>
    <t>Gg CO2/PJ</t>
  </si>
  <si>
    <t>Annual electricity use (F)</t>
  </si>
  <si>
    <t>kWh</t>
  </si>
  <si>
    <t>Emission factor (electricity) (EF)</t>
  </si>
  <si>
    <t>Tonnes CO2-e/KWh</t>
  </si>
  <si>
    <t>CO2 emissions from diesel use</t>
  </si>
  <si>
    <t>E = F x D x P x EF x 10^-6</t>
  </si>
  <si>
    <t>F = annual diesel consumption</t>
  </si>
  <si>
    <t>D = energy density for diesel</t>
  </si>
  <si>
    <t>P = oxidation factor for CO2</t>
  </si>
  <si>
    <t>Gg CO2</t>
  </si>
  <si>
    <t>CO2 emission factor for ADO</t>
  </si>
  <si>
    <t>g CO2/PJ</t>
  </si>
  <si>
    <t>CH4</t>
  </si>
  <si>
    <t>N2O</t>
  </si>
  <si>
    <t>NOx</t>
  </si>
  <si>
    <t>CO</t>
  </si>
  <si>
    <t>NMVOC</t>
  </si>
  <si>
    <t>SO2</t>
  </si>
  <si>
    <t>CO2 emissions from diesel use for non-CO2 gasses</t>
  </si>
  <si>
    <t>Total CO2-e emissions from diesel use</t>
  </si>
  <si>
    <t>CO2 emissions from electricity use</t>
  </si>
  <si>
    <t>E = F x EF</t>
  </si>
  <si>
    <t>F = Annual electricity use</t>
  </si>
  <si>
    <t>Total CO2-e emissions from diesel and electricity</t>
  </si>
  <si>
    <t>Australian Current Best Performance for Fuel Class</t>
  </si>
  <si>
    <t>Fuel type</t>
  </si>
  <si>
    <t>Thermal efficiency (%)</t>
  </si>
  <si>
    <t>kg CO2/MWh</t>
  </si>
  <si>
    <t>t CO2/kWh</t>
  </si>
  <si>
    <t xml:space="preserve">Black Coal </t>
  </si>
  <si>
    <t xml:space="preserve">Brown Coal-Victorian </t>
  </si>
  <si>
    <t xml:space="preserve">Brown Coal-Sth Australian </t>
  </si>
  <si>
    <t xml:space="preserve">Natural Gas-Steam </t>
  </si>
  <si>
    <t>Natural Gas-Turbine</t>
  </si>
  <si>
    <t xml:space="preserve">Diesel </t>
  </si>
  <si>
    <t>Cogen -Oil fired steam</t>
  </si>
  <si>
    <t>Hydro or other clean Power</t>
  </si>
  <si>
    <t>No inputs required in this section</t>
  </si>
  <si>
    <t>Total grains (inc molasses)</t>
  </si>
  <si>
    <t>Intake of cellulose C</t>
  </si>
  <si>
    <t>Intake of hemicellulose (H)</t>
  </si>
  <si>
    <t>Intake of soluble residue (SR)</t>
  </si>
  <si>
    <t>Intake of nitrogen (N)</t>
  </si>
  <si>
    <t>Seasonal methane production</t>
  </si>
  <si>
    <t>Ash content (A)</t>
  </si>
  <si>
    <t>fraction</t>
  </si>
  <si>
    <t>Seasonal methane production (E)</t>
  </si>
  <si>
    <t>Nitrogen intake (NI)</t>
  </si>
  <si>
    <t>Total seasonal faecal nitrogen excreted (AF)</t>
  </si>
  <si>
    <t>Total seasonal nitrous oxide emissions from different manure management systems (E)</t>
  </si>
  <si>
    <t>tCO2-e/farm/year</t>
  </si>
  <si>
    <t>The mass of animal waste volatilised  (M)</t>
  </si>
  <si>
    <r>
      <t>N</t>
    </r>
    <r>
      <rPr>
        <vertAlign val="subscript"/>
        <sz val="11"/>
        <rFont val="Times New Roman"/>
        <family val="1"/>
      </rPr>
      <t>2</t>
    </r>
    <r>
      <rPr>
        <sz val="11"/>
        <rFont val="Times New Roman"/>
        <family val="1"/>
      </rPr>
      <t>O - Manure</t>
    </r>
  </si>
  <si>
    <t>Group 1</t>
  </si>
  <si>
    <t xml:space="preserve">days </t>
  </si>
  <si>
    <t>Live weight gain (LWG)</t>
  </si>
  <si>
    <t xml:space="preserve">Enter your farm data for each group and animal class </t>
  </si>
  <si>
    <t>Group 2</t>
  </si>
  <si>
    <t>Group 3</t>
  </si>
  <si>
    <t>Group 4</t>
  </si>
  <si>
    <t>E = L x N x M x 10^-6</t>
  </si>
  <si>
    <t>L = length of stay</t>
  </si>
  <si>
    <t>Average length of stay (L)</t>
  </si>
  <si>
    <t>Gg CH4</t>
  </si>
  <si>
    <t>Livestock Numbers (N)</t>
  </si>
  <si>
    <t>L = average length of stay</t>
  </si>
  <si>
    <t>AF = (N x F x L) x 10^-6</t>
  </si>
  <si>
    <t>AU = (N x U x L) x 10^-6</t>
  </si>
  <si>
    <t>EF</t>
  </si>
  <si>
    <t>Average Live weight gain (LWG)</t>
  </si>
  <si>
    <t>Average Liveweight (W)</t>
  </si>
  <si>
    <t>Total length of stay (L)</t>
  </si>
  <si>
    <t>Total Livestock Numbers (N)</t>
  </si>
  <si>
    <t>Average Dry matter digestibility (DMD)</t>
  </si>
  <si>
    <t>Average Dry matter intake (I)</t>
  </si>
  <si>
    <t>Note that the calculation of total GHG emissions are available for FOUR groups managed in a year.</t>
  </si>
  <si>
    <r>
      <t>N</t>
    </r>
    <r>
      <rPr>
        <vertAlign val="subscript"/>
        <sz val="11"/>
        <rFont val="Times New Roman"/>
        <family val="1"/>
      </rPr>
      <t>2</t>
    </r>
    <r>
      <rPr>
        <sz val="11"/>
        <rFont val="Times New Roman"/>
        <family val="1"/>
      </rPr>
      <t>O - Indirect ammonia</t>
    </r>
  </si>
  <si>
    <t>Welcome to the Feedlot Greenhouse Accounting Framework (F-GAF)</t>
  </si>
  <si>
    <t>4A.1a_4</t>
  </si>
  <si>
    <t>Feedlot  - Greenhouse Accounting Framework</t>
  </si>
  <si>
    <t>Enter data for the number of groups you manage in a year and leave the rest of the groups as 0</t>
  </si>
  <si>
    <t xml:space="preserve">If feedlot waste is applied to crop or pasture land, we suggest that you use one of the other livestock calculators available on </t>
  </si>
  <si>
    <t>http://www.greenhouse.unimelb.edu.au/Tools.htm website since the current spreadhseet assumes NO animal waste is applied to land directly.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</si>
</sst>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_-;\-* #,##0_-;_-* &quot;-&quot;??_-;_-@_-"/>
    <numFmt numFmtId="165" formatCode="0.0"/>
    <numFmt numFmtId="166" formatCode="0.0000"/>
    <numFmt numFmtId="167" formatCode="0.000"/>
    <numFmt numFmtId="168" formatCode="0.00000"/>
    <numFmt numFmtId="169" formatCode="0.0000000"/>
    <numFmt numFmtId="170" formatCode="0.000000"/>
    <numFmt numFmtId="171" formatCode="0.00000000"/>
    <numFmt numFmtId="172" formatCode="0.000000000"/>
  </numFmts>
  <fonts count="30" x14ac:knownFonts="1">
    <font>
      <sz val="11"/>
      <color theme="1"/>
      <name val="Calibri"/>
      <family val="2"/>
      <scheme val="minor"/>
    </font>
    <font>
      <b/>
      <sz val="16"/>
      <name val="Times New Roman"/>
      <family val="1"/>
    </font>
    <font>
      <sz val="10"/>
      <name val="Arial"/>
      <family val="2"/>
    </font>
    <font>
      <sz val="14"/>
      <name val="Times New Roman"/>
      <family val="1"/>
    </font>
    <font>
      <sz val="14"/>
      <name val="Arial"/>
      <family val="2"/>
    </font>
    <font>
      <sz val="12"/>
      <name val="Times New Roman"/>
      <family val="1"/>
    </font>
    <font>
      <b/>
      <sz val="14"/>
      <name val="Times New Roman"/>
      <family val="1"/>
    </font>
    <font>
      <u/>
      <sz val="10"/>
      <color indexed="12"/>
      <name val="Arial"/>
      <family val="2"/>
    </font>
    <font>
      <u/>
      <sz val="14"/>
      <color indexed="12"/>
      <name val="Times New Roman"/>
      <family val="1"/>
    </font>
    <font>
      <u/>
      <vertAlign val="subscript"/>
      <sz val="14"/>
      <color indexed="12"/>
      <name val="Times New Roman"/>
      <family val="1"/>
    </font>
    <font>
      <b/>
      <vertAlign val="subscript"/>
      <sz val="14"/>
      <name val="Times New Roman"/>
      <family val="1"/>
    </font>
    <font>
      <vertAlign val="subscript"/>
      <sz val="14"/>
      <name val="Times New Roman"/>
      <family val="1"/>
    </font>
    <font>
      <sz val="11"/>
      <name val="Times New Roman"/>
      <family val="1"/>
    </font>
    <font>
      <b/>
      <sz val="11"/>
      <name val="Times New Roman"/>
      <family val="1"/>
    </font>
    <font>
      <i/>
      <sz val="10"/>
      <color rgb="FFFF0000"/>
      <name val="Times New Roman"/>
      <family val="1"/>
    </font>
    <font>
      <sz val="10"/>
      <color rgb="FFFF0000"/>
      <name val="Times New Roman"/>
      <family val="1"/>
    </font>
    <font>
      <vertAlign val="subscript"/>
      <sz val="11"/>
      <name val="Times New Roman"/>
      <family val="1"/>
    </font>
    <font>
      <sz val="11"/>
      <color theme="0" tint="-0.14999847407452621"/>
      <name val="Times New Roman"/>
      <family val="1"/>
    </font>
    <font>
      <i/>
      <sz val="11"/>
      <name val="Times New Roman"/>
      <family val="1"/>
    </font>
    <font>
      <b/>
      <sz val="12"/>
      <color indexed="10"/>
      <name val="Times New Roman"/>
      <family val="1"/>
    </font>
    <font>
      <i/>
      <sz val="12"/>
      <color rgb="FFFF0000"/>
      <name val="Times New Roman"/>
      <family val="1"/>
    </font>
    <font>
      <b/>
      <sz val="12"/>
      <name val="Times New Roman"/>
      <family val="1"/>
    </font>
    <font>
      <sz val="8"/>
      <color indexed="81"/>
      <name val="Tahoma"/>
      <family val="2"/>
    </font>
    <font>
      <sz val="12"/>
      <color theme="1"/>
      <name val="Times New Roman"/>
      <family val="1"/>
    </font>
    <font>
      <b/>
      <sz val="12"/>
      <color theme="1"/>
      <name val="Times New Roman"/>
      <family val="1"/>
    </font>
    <font>
      <b/>
      <sz val="14"/>
      <color theme="1"/>
      <name val="Times New Roman"/>
      <family val="1"/>
    </font>
    <font>
      <sz val="10"/>
      <name val="Arial"/>
      <family val="2"/>
    </font>
    <font>
      <b/>
      <vertAlign val="subscript"/>
      <sz val="11"/>
      <name val="Times New Roman"/>
      <family val="1"/>
    </font>
    <font>
      <sz val="12"/>
      <color indexed="10"/>
      <name val="Times New Roman"/>
      <family val="1"/>
    </font>
    <font>
      <b/>
      <sz val="12"/>
      <color rgb="FFFF0000"/>
      <name val="Times New Roman"/>
      <family val="1"/>
    </font>
  </fonts>
  <fills count="1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CC"/>
        <bgColor indexed="64"/>
      </patternFill>
    </fill>
    <fill>
      <patternFill patternType="solid">
        <fgColor rgb="FFFFFF99"/>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030A0"/>
      </left>
      <right/>
      <top style="thin">
        <color rgb="FF7030A0"/>
      </top>
      <bottom style="thin">
        <color indexed="64"/>
      </bottom>
      <diagonal/>
    </border>
  </borders>
  <cellStyleXfs count="5">
    <xf numFmtId="0" fontId="0" fillId="0" borderId="0"/>
    <xf numFmtId="0" fontId="2" fillId="0" borderId="0"/>
    <xf numFmtId="0" fontId="7" fillId="0" borderId="0" applyNumberFormat="0" applyFill="0" applyBorder="0" applyAlignment="0" applyProtection="0">
      <alignment vertical="top"/>
      <protection locked="0"/>
    </xf>
    <xf numFmtId="43" fontId="2" fillId="0" borderId="0" applyFont="0" applyFill="0" applyBorder="0" applyAlignment="0" applyProtection="0"/>
    <xf numFmtId="0" fontId="26" fillId="0" borderId="0"/>
  </cellStyleXfs>
  <cellXfs count="334">
    <xf numFmtId="0" fontId="0" fillId="0" borderId="0" xfId="0"/>
    <xf numFmtId="0" fontId="3" fillId="0" borderId="0" xfId="1" applyFont="1"/>
    <xf numFmtId="0" fontId="1" fillId="0" borderId="1" xfId="1" applyFont="1" applyBorder="1" applyAlignment="1">
      <alignment horizontal="center" wrapText="1"/>
    </xf>
    <xf numFmtId="0" fontId="4" fillId="0" borderId="0" xfId="1" applyFont="1"/>
    <xf numFmtId="0" fontId="5" fillId="0" borderId="1" xfId="1" applyFont="1" applyBorder="1" applyAlignment="1">
      <alignment wrapText="1"/>
    </xf>
    <xf numFmtId="0" fontId="6" fillId="0" borderId="2" xfId="1" applyFont="1" applyBorder="1" applyAlignment="1">
      <alignment horizontal="center"/>
    </xf>
    <xf numFmtId="0" fontId="3" fillId="0" borderId="1" xfId="1" applyFont="1" applyBorder="1" applyAlignment="1">
      <alignment wrapText="1"/>
    </xf>
    <xf numFmtId="0" fontId="3" fillId="0" borderId="3" xfId="1" applyFont="1" applyBorder="1" applyAlignment="1">
      <alignment wrapText="1"/>
    </xf>
    <xf numFmtId="0" fontId="7" fillId="0" borderId="3" xfId="2" applyBorder="1" applyAlignment="1" applyProtection="1"/>
    <xf numFmtId="0" fontId="8" fillId="0" borderId="3" xfId="2" applyFont="1" applyBorder="1" applyAlignment="1" applyProtection="1">
      <alignment wrapText="1"/>
    </xf>
    <xf numFmtId="0" fontId="6" fillId="2" borderId="4" xfId="1" applyFont="1" applyFill="1" applyBorder="1" applyAlignment="1">
      <alignment horizontal="center"/>
    </xf>
    <xf numFmtId="0" fontId="6" fillId="2" borderId="3" xfId="1" applyFont="1" applyFill="1" applyBorder="1" applyAlignment="1">
      <alignment horizontal="center"/>
    </xf>
    <xf numFmtId="0" fontId="3" fillId="2" borderId="3" xfId="1" applyFont="1" applyFill="1" applyBorder="1" applyAlignment="1">
      <alignment horizontal="left" wrapText="1"/>
    </xf>
    <xf numFmtId="0" fontId="3" fillId="0" borderId="0" xfId="1" applyFont="1" applyFill="1"/>
    <xf numFmtId="0" fontId="3" fillId="0" borderId="3" xfId="1" applyFont="1" applyFill="1" applyBorder="1" applyAlignment="1">
      <alignment horizontal="left" wrapText="1"/>
    </xf>
    <xf numFmtId="0" fontId="4" fillId="0" borderId="0" xfId="1" applyFont="1" applyFill="1"/>
    <xf numFmtId="0" fontId="3" fillId="2" borderId="1" xfId="1" applyFont="1" applyFill="1" applyBorder="1" applyAlignment="1">
      <alignment vertical="top" wrapText="1"/>
    </xf>
    <xf numFmtId="0" fontId="3" fillId="2" borderId="3" xfId="1" applyFont="1" applyFill="1" applyBorder="1" applyAlignment="1">
      <alignment horizontal="left" vertical="top" wrapText="1"/>
    </xf>
    <xf numFmtId="0" fontId="3" fillId="0" borderId="3" xfId="1" applyFont="1" applyBorder="1" applyAlignment="1">
      <alignment vertical="top" wrapText="1"/>
    </xf>
    <xf numFmtId="0" fontId="3" fillId="2" borderId="3" xfId="1" applyFont="1" applyFill="1" applyBorder="1" applyAlignment="1">
      <alignment vertical="top" wrapText="1"/>
    </xf>
    <xf numFmtId="0" fontId="3" fillId="0" borderId="3" xfId="1" applyFont="1" applyFill="1" applyBorder="1" applyAlignment="1">
      <alignment vertical="top" wrapText="1"/>
    </xf>
    <xf numFmtId="0" fontId="3" fillId="0" borderId="3" xfId="1" applyFont="1" applyBorder="1"/>
    <xf numFmtId="0" fontId="6" fillId="0" borderId="4" xfId="1" applyFont="1" applyFill="1" applyBorder="1" applyAlignment="1">
      <alignment horizontal="center"/>
    </xf>
    <xf numFmtId="0" fontId="3" fillId="0" borderId="3" xfId="1" applyFont="1" applyFill="1" applyBorder="1"/>
    <xf numFmtId="0" fontId="3" fillId="0" borderId="3" xfId="1" applyFont="1" applyFill="1" applyBorder="1" applyAlignment="1">
      <alignment horizontal="left" indent="1"/>
    </xf>
    <xf numFmtId="0" fontId="3" fillId="0" borderId="4" xfId="1" applyFont="1" applyFill="1" applyBorder="1"/>
    <xf numFmtId="0" fontId="12" fillId="3" borderId="0" xfId="1" applyFont="1" applyFill="1" applyBorder="1" applyProtection="1"/>
    <xf numFmtId="0" fontId="6" fillId="3" borderId="0" xfId="1" applyFont="1" applyFill="1" applyBorder="1" applyAlignment="1" applyProtection="1"/>
    <xf numFmtId="0" fontId="13" fillId="3" borderId="0" xfId="1" applyFont="1" applyFill="1" applyBorder="1" applyAlignment="1" applyProtection="1"/>
    <xf numFmtId="0" fontId="12" fillId="3" borderId="0" xfId="1" applyFont="1" applyFill="1" applyBorder="1" applyAlignment="1" applyProtection="1">
      <alignment horizontal="right"/>
    </xf>
    <xf numFmtId="0" fontId="14" fillId="3" borderId="0" xfId="1" applyFont="1" applyFill="1" applyProtection="1"/>
    <xf numFmtId="0" fontId="15" fillId="3" borderId="0" xfId="1" applyFont="1" applyFill="1" applyProtection="1"/>
    <xf numFmtId="0" fontId="12" fillId="4" borderId="5" xfId="1" applyFont="1" applyFill="1" applyBorder="1" applyProtection="1"/>
    <xf numFmtId="0" fontId="12" fillId="4" borderId="6" xfId="1" applyFont="1" applyFill="1" applyBorder="1" applyProtection="1"/>
    <xf numFmtId="0" fontId="13" fillId="4" borderId="5" xfId="1" applyFont="1" applyFill="1" applyBorder="1" applyProtection="1"/>
    <xf numFmtId="0" fontId="13" fillId="4" borderId="6" xfId="1" applyFont="1" applyFill="1" applyBorder="1" applyAlignment="1" applyProtection="1">
      <alignment horizontal="right"/>
    </xf>
    <xf numFmtId="0" fontId="12" fillId="4" borderId="8" xfId="1" applyFont="1" applyFill="1" applyBorder="1" applyProtection="1"/>
    <xf numFmtId="3" fontId="12" fillId="4" borderId="9" xfId="3" applyNumberFormat="1" applyFont="1" applyFill="1" applyBorder="1" applyProtection="1"/>
    <xf numFmtId="0" fontId="12" fillId="4" borderId="0" xfId="1" applyFont="1" applyFill="1" applyBorder="1" applyAlignment="1" applyProtection="1">
      <alignment horizontal="right"/>
    </xf>
    <xf numFmtId="164" fontId="12" fillId="4" borderId="9" xfId="1" applyNumberFormat="1" applyFont="1" applyFill="1" applyBorder="1" applyProtection="1"/>
    <xf numFmtId="0" fontId="12" fillId="4" borderId="0" xfId="1" applyFont="1" applyFill="1" applyBorder="1" applyProtection="1"/>
    <xf numFmtId="0" fontId="12" fillId="4" borderId="9" xfId="1" applyFont="1" applyFill="1" applyBorder="1" applyProtection="1"/>
    <xf numFmtId="0" fontId="12" fillId="4" borderId="10" xfId="1" applyFont="1" applyFill="1" applyBorder="1" applyProtection="1"/>
    <xf numFmtId="0" fontId="12" fillId="4" borderId="12" xfId="1" applyFont="1" applyFill="1" applyBorder="1" applyProtection="1"/>
    <xf numFmtId="0" fontId="12" fillId="4" borderId="11" xfId="1" applyFont="1" applyFill="1" applyBorder="1" applyProtection="1"/>
    <xf numFmtId="0" fontId="17" fillId="4" borderId="0" xfId="1" applyFont="1" applyFill="1" applyBorder="1" applyProtection="1"/>
    <xf numFmtId="43" fontId="12" fillId="3" borderId="0" xfId="1" applyNumberFormat="1" applyFont="1" applyFill="1" applyBorder="1" applyProtection="1"/>
    <xf numFmtId="165" fontId="12" fillId="3" borderId="0" xfId="1" applyNumberFormat="1" applyFont="1" applyFill="1" applyBorder="1" applyProtection="1"/>
    <xf numFmtId="0" fontId="18" fillId="3" borderId="0" xfId="1" applyFont="1" applyFill="1" applyBorder="1" applyProtection="1"/>
    <xf numFmtId="0" fontId="6" fillId="0" borderId="0" xfId="1" applyFont="1" applyFill="1" applyBorder="1"/>
    <xf numFmtId="0" fontId="5" fillId="0" borderId="0" xfId="1" applyFont="1" applyFill="1" applyBorder="1"/>
    <xf numFmtId="0" fontId="19" fillId="0" borderId="0" xfId="1" applyFont="1" applyFill="1" applyBorder="1"/>
    <xf numFmtId="0" fontId="5" fillId="0" borderId="13" xfId="1" applyFont="1" applyFill="1" applyBorder="1"/>
    <xf numFmtId="0" fontId="5" fillId="0" borderId="15" xfId="1" applyFont="1" applyFill="1" applyBorder="1"/>
    <xf numFmtId="0" fontId="21" fillId="4" borderId="13" xfId="1" applyFont="1" applyFill="1" applyBorder="1"/>
    <xf numFmtId="0" fontId="5" fillId="4" borderId="14" xfId="1" applyFont="1" applyFill="1" applyBorder="1"/>
    <xf numFmtId="0" fontId="21" fillId="0" borderId="0" xfId="1" applyFont="1" applyFill="1" applyBorder="1"/>
    <xf numFmtId="0" fontId="5" fillId="0" borderId="8" xfId="1" applyFont="1" applyFill="1" applyBorder="1"/>
    <xf numFmtId="0" fontId="21" fillId="0" borderId="0" xfId="1" applyFont="1" applyFill="1" applyBorder="1" applyAlignment="1">
      <alignment vertical="top"/>
    </xf>
    <xf numFmtId="0" fontId="21" fillId="4" borderId="8" xfId="1" applyFont="1" applyFill="1" applyBorder="1"/>
    <xf numFmtId="0" fontId="5" fillId="4" borderId="0" xfId="1" applyFont="1" applyFill="1" applyBorder="1"/>
    <xf numFmtId="0" fontId="5" fillId="0" borderId="0" xfId="1" applyFont="1" applyFill="1" applyBorder="1" applyProtection="1">
      <protection locked="0"/>
    </xf>
    <xf numFmtId="1" fontId="5" fillId="0" borderId="0" xfId="1" applyNumberFormat="1" applyFont="1" applyFill="1" applyBorder="1"/>
    <xf numFmtId="0" fontId="5" fillId="0" borderId="9" xfId="1" applyFont="1" applyFill="1" applyBorder="1"/>
    <xf numFmtId="0" fontId="21" fillId="4" borderId="10" xfId="1" applyFont="1" applyFill="1" applyBorder="1"/>
    <xf numFmtId="0" fontId="5" fillId="4" borderId="11" xfId="1" applyFont="1" applyFill="1" applyBorder="1"/>
    <xf numFmtId="0" fontId="5" fillId="4" borderId="0" xfId="1" applyFont="1" applyFill="1" applyBorder="1" applyProtection="1">
      <protection locked="0"/>
    </xf>
    <xf numFmtId="2" fontId="5" fillId="0" borderId="0" xfId="1" applyNumberFormat="1" applyFont="1" applyFill="1" applyBorder="1" applyProtection="1">
      <protection locked="0"/>
    </xf>
    <xf numFmtId="0" fontId="5" fillId="0" borderId="10" xfId="1" applyFont="1" applyFill="1" applyBorder="1"/>
    <xf numFmtId="0" fontId="5" fillId="0" borderId="12" xfId="1" applyFont="1" applyFill="1" applyBorder="1"/>
    <xf numFmtId="0" fontId="21" fillId="0" borderId="0" xfId="1" applyFont="1" applyFill="1" applyBorder="1" applyAlignment="1">
      <alignment vertical="top" wrapText="1"/>
    </xf>
    <xf numFmtId="0" fontId="5" fillId="0" borderId="0" xfId="1" applyFont="1" applyFill="1" applyBorder="1" applyProtection="1"/>
    <xf numFmtId="2" fontId="5" fillId="0" borderId="0" xfId="1" applyNumberFormat="1" applyFont="1" applyFill="1" applyBorder="1"/>
    <xf numFmtId="0" fontId="23" fillId="0" borderId="0" xfId="0" applyFont="1"/>
    <xf numFmtId="0" fontId="6" fillId="0" borderId="0" xfId="0" applyFont="1" applyBorder="1"/>
    <xf numFmtId="0" fontId="24" fillId="0" borderId="0" xfId="0" applyFont="1"/>
    <xf numFmtId="167" fontId="23" fillId="0" borderId="0" xfId="0" applyNumberFormat="1" applyFont="1"/>
    <xf numFmtId="0" fontId="24" fillId="0" borderId="0" xfId="0" applyFont="1" applyAlignment="1">
      <alignment horizontal="center"/>
    </xf>
    <xf numFmtId="0" fontId="23" fillId="0" borderId="0" xfId="0" applyFont="1" applyBorder="1"/>
    <xf numFmtId="0" fontId="25" fillId="0" borderId="0" xfId="0" applyFont="1" applyBorder="1"/>
    <xf numFmtId="0" fontId="5" fillId="0" borderId="0" xfId="0" applyFont="1"/>
    <xf numFmtId="0" fontId="21" fillId="0" borderId="0" xfId="0" applyFont="1"/>
    <xf numFmtId="0" fontId="24" fillId="0" borderId="0" xfId="0" applyFont="1" applyBorder="1" applyAlignment="1">
      <alignment horizontal="center"/>
    </xf>
    <xf numFmtId="0" fontId="25" fillId="0" borderId="0" xfId="0" applyFont="1"/>
    <xf numFmtId="0" fontId="21" fillId="5" borderId="0" xfId="0" applyFont="1" applyFill="1" applyBorder="1"/>
    <xf numFmtId="0" fontId="6" fillId="0" borderId="0" xfId="4" applyFont="1"/>
    <xf numFmtId="0" fontId="5" fillId="0" borderId="0" xfId="4" applyFont="1"/>
    <xf numFmtId="0" fontId="19" fillId="0" borderId="0" xfId="4" applyFont="1"/>
    <xf numFmtId="0" fontId="5" fillId="0" borderId="0" xfId="4" applyFont="1" applyBorder="1"/>
    <xf numFmtId="0" fontId="21" fillId="0" borderId="0" xfId="4" applyFont="1" applyAlignment="1">
      <alignment horizontal="center"/>
    </xf>
    <xf numFmtId="0" fontId="21" fillId="7" borderId="6" xfId="4" applyFont="1" applyFill="1" applyBorder="1"/>
    <xf numFmtId="0" fontId="5" fillId="7" borderId="6" xfId="4" applyFont="1" applyFill="1" applyBorder="1"/>
    <xf numFmtId="0" fontId="21" fillId="7" borderId="6" xfId="4" applyFont="1" applyFill="1" applyBorder="1" applyAlignment="1">
      <alignment horizontal="center"/>
    </xf>
    <xf numFmtId="0" fontId="21" fillId="8" borderId="6" xfId="4" applyFont="1" applyFill="1" applyBorder="1" applyAlignment="1">
      <alignment horizontal="center"/>
    </xf>
    <xf numFmtId="0" fontId="5" fillId="7" borderId="0" xfId="4" applyFont="1" applyFill="1"/>
    <xf numFmtId="171" fontId="5" fillId="7" borderId="0" xfId="4" applyNumberFormat="1" applyFont="1" applyFill="1" applyBorder="1"/>
    <xf numFmtId="0" fontId="5" fillId="7" borderId="0" xfId="4" applyFont="1" applyFill="1" applyBorder="1"/>
    <xf numFmtId="0" fontId="21" fillId="8" borderId="0" xfId="4" applyFont="1" applyFill="1" applyAlignment="1">
      <alignment horizontal="center"/>
    </xf>
    <xf numFmtId="0" fontId="21" fillId="7" borderId="0" xfId="4" applyFont="1" applyFill="1"/>
    <xf numFmtId="2" fontId="5" fillId="7" borderId="0" xfId="4" applyNumberFormat="1" applyFont="1" applyFill="1"/>
    <xf numFmtId="0" fontId="21" fillId="8" borderId="0" xfId="4" applyFont="1" applyFill="1" applyBorder="1" applyAlignment="1">
      <alignment horizontal="center"/>
    </xf>
    <xf numFmtId="0" fontId="5" fillId="7" borderId="14" xfId="4" applyFont="1" applyFill="1" applyBorder="1"/>
    <xf numFmtId="0" fontId="5" fillId="7" borderId="11" xfId="4" applyFont="1" applyFill="1" applyBorder="1"/>
    <xf numFmtId="0" fontId="5" fillId="7" borderId="0" xfId="4" applyFont="1" applyFill="1" applyAlignment="1">
      <alignment horizontal="right"/>
    </xf>
    <xf numFmtId="0" fontId="5" fillId="0" borderId="0" xfId="4" applyFont="1" applyFill="1" applyBorder="1"/>
    <xf numFmtId="0" fontId="5" fillId="7" borderId="0" xfId="4" applyFont="1" applyFill="1" applyAlignment="1">
      <alignment horizontal="left"/>
    </xf>
    <xf numFmtId="0" fontId="5" fillId="0" borderId="0" xfId="4" applyFont="1" applyFill="1" applyBorder="1" applyAlignment="1"/>
    <xf numFmtId="172" fontId="5" fillId="0" borderId="0" xfId="4" applyNumberFormat="1" applyFont="1" applyFill="1" applyBorder="1"/>
    <xf numFmtId="0" fontId="5" fillId="7" borderId="0" xfId="4" applyFont="1" applyFill="1" applyBorder="1" applyAlignment="1">
      <alignment horizontal="right"/>
    </xf>
    <xf numFmtId="0" fontId="21" fillId="0" borderId="0" xfId="4" applyFont="1" applyFill="1" applyBorder="1"/>
    <xf numFmtId="170" fontId="5" fillId="7" borderId="0" xfId="4" applyNumberFormat="1" applyFont="1" applyFill="1"/>
    <xf numFmtId="0" fontId="21" fillId="0" borderId="0" xfId="4" applyFont="1" applyFill="1" applyBorder="1" applyAlignment="1">
      <alignment vertical="top" wrapText="1"/>
    </xf>
    <xf numFmtId="172" fontId="21" fillId="8" borderId="0" xfId="4" applyNumberFormat="1" applyFont="1" applyFill="1" applyAlignment="1">
      <alignment horizontal="center"/>
    </xf>
    <xf numFmtId="169" fontId="21" fillId="8" borderId="0" xfId="4" applyNumberFormat="1" applyFont="1" applyFill="1" applyAlignment="1">
      <alignment horizontal="center"/>
    </xf>
    <xf numFmtId="166" fontId="5" fillId="7" borderId="0" xfId="4" applyNumberFormat="1" applyFont="1" applyFill="1"/>
    <xf numFmtId="0" fontId="5" fillId="4" borderId="15" xfId="1" applyFont="1" applyFill="1" applyBorder="1" applyAlignment="1">
      <alignment horizontal="right"/>
    </xf>
    <xf numFmtId="0" fontId="5" fillId="4" borderId="12" xfId="1" applyFont="1" applyFill="1" applyBorder="1" applyAlignment="1">
      <alignment horizontal="right"/>
    </xf>
    <xf numFmtId="0" fontId="13" fillId="4" borderId="7" xfId="1" applyNumberFormat="1" applyFont="1" applyFill="1" applyBorder="1" applyProtection="1"/>
    <xf numFmtId="0" fontId="12" fillId="4" borderId="13" xfId="1" applyFont="1" applyFill="1" applyBorder="1" applyProtection="1"/>
    <xf numFmtId="0" fontId="12" fillId="4" borderId="15" xfId="1" applyFont="1" applyFill="1" applyBorder="1" applyProtection="1"/>
    <xf numFmtId="164" fontId="12" fillId="4" borderId="12" xfId="1" applyNumberFormat="1" applyFont="1" applyFill="1" applyBorder="1" applyProtection="1"/>
    <xf numFmtId="0" fontId="12" fillId="4" borderId="11" xfId="1" applyFont="1" applyFill="1" applyBorder="1" applyAlignment="1" applyProtection="1">
      <alignment horizontal="right"/>
    </xf>
    <xf numFmtId="0" fontId="12" fillId="4" borderId="7" xfId="1" applyFont="1" applyFill="1" applyBorder="1" applyProtection="1"/>
    <xf numFmtId="0" fontId="17" fillId="4" borderId="6" xfId="1" applyFont="1" applyFill="1" applyBorder="1" applyProtection="1"/>
    <xf numFmtId="0" fontId="28" fillId="0" borderId="0" xfId="0" applyFont="1"/>
    <xf numFmtId="0" fontId="5" fillId="0" borderId="0" xfId="0" applyFont="1" applyBorder="1"/>
    <xf numFmtId="0" fontId="21" fillId="10" borderId="5" xfId="0" applyFont="1" applyFill="1" applyBorder="1"/>
    <xf numFmtId="0" fontId="5" fillId="10" borderId="6" xfId="0" applyFont="1" applyFill="1" applyBorder="1"/>
    <xf numFmtId="0" fontId="5" fillId="10" borderId="7" xfId="0" applyFont="1" applyFill="1" applyBorder="1"/>
    <xf numFmtId="0" fontId="21" fillId="10" borderId="0" xfId="0" applyFont="1" applyFill="1" applyBorder="1"/>
    <xf numFmtId="0" fontId="5" fillId="10" borderId="0" xfId="0" applyFont="1" applyFill="1" applyBorder="1"/>
    <xf numFmtId="0" fontId="21" fillId="10" borderId="11" xfId="0" applyFont="1" applyFill="1" applyBorder="1"/>
    <xf numFmtId="0" fontId="5" fillId="10" borderId="11" xfId="0" applyFont="1" applyFill="1" applyBorder="1"/>
    <xf numFmtId="0" fontId="21" fillId="10" borderId="14" xfId="0" applyFont="1" applyFill="1" applyBorder="1"/>
    <xf numFmtId="9" fontId="21" fillId="10" borderId="0" xfId="0" applyNumberFormat="1" applyFont="1" applyFill="1" applyBorder="1"/>
    <xf numFmtId="165" fontId="21" fillId="10" borderId="0" xfId="0" applyNumberFormat="1" applyFont="1" applyFill="1" applyBorder="1"/>
    <xf numFmtId="9" fontId="5" fillId="10" borderId="0" xfId="0" applyNumberFormat="1" applyFont="1" applyFill="1" applyBorder="1"/>
    <xf numFmtId="165" fontId="5" fillId="10" borderId="0" xfId="0" applyNumberFormat="1" applyFont="1" applyFill="1" applyBorder="1"/>
    <xf numFmtId="0" fontId="5" fillId="0" borderId="0" xfId="0" applyFont="1" applyBorder="1" applyAlignment="1">
      <alignment vertical="top" wrapText="1"/>
    </xf>
    <xf numFmtId="0" fontId="21" fillId="10" borderId="13" xfId="0" applyFont="1" applyFill="1" applyBorder="1"/>
    <xf numFmtId="0" fontId="21" fillId="10" borderId="15" xfId="0" applyFont="1" applyFill="1" applyBorder="1"/>
    <xf numFmtId="0" fontId="21" fillId="10" borderId="10" xfId="0" applyFont="1" applyFill="1" applyBorder="1"/>
    <xf numFmtId="0" fontId="21" fillId="10" borderId="11" xfId="0" applyFont="1" applyFill="1" applyBorder="1" applyAlignment="1">
      <alignment horizontal="center"/>
    </xf>
    <xf numFmtId="0" fontId="6" fillId="0" borderId="0" xfId="0" applyFont="1"/>
    <xf numFmtId="0" fontId="21" fillId="9" borderId="6" xfId="0" applyFont="1" applyFill="1" applyBorder="1"/>
    <xf numFmtId="0" fontId="5" fillId="9" borderId="6" xfId="0" applyFont="1" applyFill="1" applyBorder="1"/>
    <xf numFmtId="0" fontId="5" fillId="9" borderId="0" xfId="0" applyFont="1" applyFill="1"/>
    <xf numFmtId="0" fontId="5" fillId="9" borderId="0" xfId="0" applyFont="1" applyFill="1" applyBorder="1"/>
    <xf numFmtId="0" fontId="5" fillId="9" borderId="14" xfId="0" applyFont="1" applyFill="1" applyBorder="1"/>
    <xf numFmtId="0" fontId="5" fillId="9" borderId="11" xfId="0" applyFont="1" applyFill="1" applyBorder="1"/>
    <xf numFmtId="0" fontId="21" fillId="9" borderId="0" xfId="0" applyFont="1" applyFill="1"/>
    <xf numFmtId="2" fontId="5" fillId="9" borderId="0" xfId="0" applyNumberFormat="1" applyFont="1" applyFill="1"/>
    <xf numFmtId="0" fontId="5" fillId="9" borderId="5" xfId="0" applyFont="1" applyFill="1" applyBorder="1"/>
    <xf numFmtId="0" fontId="5" fillId="9" borderId="7" xfId="0" applyFont="1" applyFill="1" applyBorder="1"/>
    <xf numFmtId="0" fontId="5" fillId="9" borderId="8" xfId="0" applyFont="1" applyFill="1" applyBorder="1"/>
    <xf numFmtId="0" fontId="5" fillId="9" borderId="0" xfId="0" applyFont="1" applyFill="1" applyBorder="1" applyAlignment="1">
      <alignment horizontal="right"/>
    </xf>
    <xf numFmtId="0" fontId="5" fillId="9" borderId="9" xfId="0" applyFont="1" applyFill="1" applyBorder="1" applyAlignment="1">
      <alignment horizontal="right"/>
    </xf>
    <xf numFmtId="0" fontId="5" fillId="9" borderId="10" xfId="0" applyFont="1" applyFill="1" applyBorder="1"/>
    <xf numFmtId="0" fontId="5" fillId="9" borderId="11" xfId="0" applyFont="1" applyFill="1" applyBorder="1" applyAlignment="1">
      <alignment horizontal="right"/>
    </xf>
    <xf numFmtId="0" fontId="5" fillId="9" borderId="12" xfId="0" applyFont="1" applyFill="1" applyBorder="1" applyAlignment="1">
      <alignment horizontal="right"/>
    </xf>
    <xf numFmtId="166" fontId="5" fillId="9" borderId="0" xfId="0" applyNumberFormat="1" applyFont="1" applyFill="1"/>
    <xf numFmtId="166" fontId="21" fillId="9" borderId="0" xfId="0" applyNumberFormat="1" applyFont="1" applyFill="1"/>
    <xf numFmtId="166" fontId="5" fillId="9" borderId="0" xfId="0" applyNumberFormat="1" applyFont="1" applyFill="1" applyBorder="1"/>
    <xf numFmtId="0" fontId="21" fillId="9" borderId="0" xfId="0" applyFont="1" applyFill="1" applyBorder="1" applyAlignment="1">
      <alignment vertical="top" wrapText="1"/>
    </xf>
    <xf numFmtId="0" fontId="21" fillId="0" borderId="0" xfId="0" applyFont="1" applyBorder="1" applyAlignment="1">
      <alignment vertical="top" wrapText="1"/>
    </xf>
    <xf numFmtId="0" fontId="21" fillId="9" borderId="5" xfId="0" applyFont="1" applyFill="1" applyBorder="1"/>
    <xf numFmtId="0" fontId="21" fillId="9" borderId="10" xfId="0" applyFont="1" applyFill="1" applyBorder="1"/>
    <xf numFmtId="0" fontId="21" fillId="9" borderId="11" xfId="0" applyFont="1" applyFill="1" applyBorder="1"/>
    <xf numFmtId="0" fontId="21" fillId="9" borderId="12" xfId="0" applyFont="1" applyFill="1" applyBorder="1"/>
    <xf numFmtId="0" fontId="5" fillId="9" borderId="8" xfId="0" applyFont="1" applyFill="1" applyBorder="1" applyAlignment="1">
      <alignment horizontal="left" vertical="top" wrapText="1"/>
    </xf>
    <xf numFmtId="0" fontId="5" fillId="9" borderId="0" xfId="0" applyFont="1" applyFill="1" applyBorder="1" applyAlignment="1">
      <alignment horizontal="right" vertical="top" wrapText="1"/>
    </xf>
    <xf numFmtId="0" fontId="5" fillId="9" borderId="9" xfId="0" applyFont="1" applyFill="1" applyBorder="1" applyAlignment="1">
      <alignment horizontal="right" vertical="top" wrapText="1"/>
    </xf>
    <xf numFmtId="0" fontId="5" fillId="9" borderId="0" xfId="0" applyFont="1" applyFill="1" applyBorder="1" applyAlignment="1">
      <alignment vertical="top" wrapText="1"/>
    </xf>
    <xf numFmtId="0" fontId="5" fillId="9" borderId="9" xfId="0" applyFont="1" applyFill="1" applyBorder="1" applyAlignment="1">
      <alignment vertical="top" wrapText="1"/>
    </xf>
    <xf numFmtId="0" fontId="5" fillId="9" borderId="10" xfId="0" applyFont="1" applyFill="1" applyBorder="1" applyAlignment="1">
      <alignment horizontal="left" vertical="top" wrapText="1"/>
    </xf>
    <xf numFmtId="0" fontId="5" fillId="9" borderId="11" xfId="0" applyFont="1" applyFill="1" applyBorder="1" applyAlignment="1">
      <alignment vertical="top" wrapText="1"/>
    </xf>
    <xf numFmtId="0" fontId="5" fillId="9" borderId="12" xfId="0" applyFont="1" applyFill="1" applyBorder="1" applyAlignment="1">
      <alignment vertical="top" wrapText="1"/>
    </xf>
    <xf numFmtId="166" fontId="5" fillId="9" borderId="11" xfId="0" applyNumberFormat="1" applyFont="1" applyFill="1" applyBorder="1"/>
    <xf numFmtId="166" fontId="5" fillId="0" borderId="0" xfId="0" applyNumberFormat="1" applyFont="1"/>
    <xf numFmtId="0" fontId="20" fillId="0" borderId="0" xfId="1" applyFont="1" applyFill="1" applyBorder="1"/>
    <xf numFmtId="165" fontId="12" fillId="3" borderId="0" xfId="1" applyNumberFormat="1" applyFont="1" applyFill="1" applyBorder="1" applyAlignment="1" applyProtection="1">
      <alignment horizontal="right" vertical="top" wrapText="1"/>
    </xf>
    <xf numFmtId="0" fontId="12" fillId="4" borderId="14" xfId="1" applyFont="1" applyFill="1" applyBorder="1" applyProtection="1"/>
    <xf numFmtId="0" fontId="13" fillId="4" borderId="10" xfId="1" applyFont="1" applyFill="1" applyBorder="1" applyProtection="1"/>
    <xf numFmtId="3" fontId="13" fillId="4" borderId="12" xfId="3" applyNumberFormat="1" applyFont="1" applyFill="1" applyBorder="1" applyProtection="1"/>
    <xf numFmtId="0" fontId="23" fillId="5" borderId="0" xfId="0" applyFont="1" applyFill="1"/>
    <xf numFmtId="0" fontId="23" fillId="12" borderId="0" xfId="0" applyFont="1" applyFill="1" applyBorder="1"/>
    <xf numFmtId="0" fontId="23" fillId="13" borderId="0" xfId="0" applyFont="1" applyFill="1" applyBorder="1"/>
    <xf numFmtId="0" fontId="24" fillId="13" borderId="0" xfId="0" applyFont="1" applyFill="1" applyBorder="1"/>
    <xf numFmtId="0" fontId="23" fillId="13" borderId="0" xfId="0" applyFont="1" applyFill="1" applyBorder="1" applyAlignment="1">
      <alignment horizontal="right"/>
    </xf>
    <xf numFmtId="0" fontId="13" fillId="0" borderId="0" xfId="1" applyFont="1" applyFill="1" applyBorder="1" applyAlignment="1" applyProtection="1">
      <alignment horizontal="center"/>
      <protection locked="0"/>
    </xf>
    <xf numFmtId="0" fontId="23" fillId="6" borderId="0" xfId="0" applyFont="1" applyFill="1"/>
    <xf numFmtId="0" fontId="23" fillId="6" borderId="0" xfId="0" applyFont="1" applyFill="1" applyBorder="1"/>
    <xf numFmtId="0" fontId="24" fillId="6" borderId="0" xfId="0" applyFont="1" applyFill="1" applyBorder="1"/>
    <xf numFmtId="0" fontId="5" fillId="6" borderId="0" xfId="0" applyFont="1" applyFill="1" applyBorder="1" applyAlignment="1">
      <alignment horizontal="left"/>
    </xf>
    <xf numFmtId="0" fontId="23" fillId="6" borderId="0" xfId="0" applyFont="1" applyFill="1" applyBorder="1" applyAlignment="1">
      <alignment horizontal="right"/>
    </xf>
    <xf numFmtId="0" fontId="23" fillId="6" borderId="11" xfId="0" applyFont="1" applyFill="1" applyBorder="1"/>
    <xf numFmtId="0" fontId="5" fillId="6" borderId="11" xfId="0" applyFont="1" applyFill="1" applyBorder="1" applyAlignment="1">
      <alignment horizontal="left"/>
    </xf>
    <xf numFmtId="0" fontId="24" fillId="6" borderId="6" xfId="0" applyFont="1" applyFill="1" applyBorder="1"/>
    <xf numFmtId="0" fontId="23" fillId="6" borderId="0" xfId="0" applyFont="1" applyFill="1" applyBorder="1" applyAlignment="1">
      <alignment horizontal="center"/>
    </xf>
    <xf numFmtId="0" fontId="23" fillId="6" borderId="11" xfId="0" applyFont="1" applyFill="1" applyBorder="1" applyAlignment="1">
      <alignment horizontal="center"/>
    </xf>
    <xf numFmtId="167" fontId="23" fillId="6" borderId="0" xfId="0" applyNumberFormat="1" applyFont="1" applyFill="1" applyBorder="1" applyAlignment="1">
      <alignment horizontal="center"/>
    </xf>
    <xf numFmtId="0" fontId="24" fillId="6" borderId="11" xfId="0" applyFont="1" applyFill="1" applyBorder="1"/>
    <xf numFmtId="2" fontId="23" fillId="6" borderId="0" xfId="0" applyNumberFormat="1" applyFont="1" applyFill="1" applyBorder="1"/>
    <xf numFmtId="165" fontId="23" fillId="6" borderId="0" xfId="0" applyNumberFormat="1" applyFont="1" applyFill="1" applyBorder="1"/>
    <xf numFmtId="165" fontId="23" fillId="6" borderId="11" xfId="0" applyNumberFormat="1" applyFont="1" applyFill="1" applyBorder="1"/>
    <xf numFmtId="0" fontId="24" fillId="11" borderId="6" xfId="0" applyFont="1" applyFill="1" applyBorder="1"/>
    <xf numFmtId="0" fontId="23" fillId="11" borderId="0" xfId="0" applyFont="1" applyFill="1" applyBorder="1"/>
    <xf numFmtId="0" fontId="24" fillId="11" borderId="0" xfId="0" applyFont="1" applyFill="1" applyBorder="1" applyAlignment="1">
      <alignment horizontal="center"/>
    </xf>
    <xf numFmtId="0" fontId="23" fillId="11" borderId="11" xfId="0" applyFont="1" applyFill="1" applyBorder="1"/>
    <xf numFmtId="167" fontId="23" fillId="13" borderId="0" xfId="0" applyNumberFormat="1" applyFont="1" applyFill="1" applyBorder="1"/>
    <xf numFmtId="1" fontId="23" fillId="13" borderId="0" xfId="0" applyNumberFormat="1" applyFont="1" applyFill="1" applyBorder="1"/>
    <xf numFmtId="168" fontId="23" fillId="13" borderId="0" xfId="0" applyNumberFormat="1" applyFont="1" applyFill="1" applyBorder="1"/>
    <xf numFmtId="165" fontId="23" fillId="13" borderId="0" xfId="0" applyNumberFormat="1" applyFont="1" applyFill="1" applyBorder="1"/>
    <xf numFmtId="0" fontId="24" fillId="14" borderId="0" xfId="0" applyFont="1" applyFill="1" applyBorder="1" applyAlignment="1">
      <alignment horizontal="center"/>
    </xf>
    <xf numFmtId="0" fontId="23" fillId="14" borderId="0" xfId="0" applyFont="1" applyFill="1" applyBorder="1"/>
    <xf numFmtId="0" fontId="24" fillId="12" borderId="0" xfId="0" applyFont="1" applyFill="1" applyBorder="1" applyAlignment="1">
      <alignment horizontal="center"/>
    </xf>
    <xf numFmtId="0" fontId="24" fillId="13" borderId="6" xfId="0" applyFont="1" applyFill="1" applyBorder="1"/>
    <xf numFmtId="0" fontId="21" fillId="13" borderId="0" xfId="0" applyFont="1" applyFill="1" applyBorder="1"/>
    <xf numFmtId="0" fontId="24" fillId="13" borderId="11" xfId="0" applyFont="1" applyFill="1" applyBorder="1"/>
    <xf numFmtId="165" fontId="23" fillId="13" borderId="11" xfId="0" applyNumberFormat="1" applyFont="1" applyFill="1" applyBorder="1"/>
    <xf numFmtId="0" fontId="23" fillId="13" borderId="11" xfId="0" applyFont="1" applyFill="1" applyBorder="1"/>
    <xf numFmtId="0" fontId="23" fillId="13" borderId="11" xfId="0" applyFont="1" applyFill="1" applyBorder="1" applyAlignment="1">
      <alignment horizontal="right"/>
    </xf>
    <xf numFmtId="0" fontId="24" fillId="12" borderId="11" xfId="0" applyFont="1" applyFill="1" applyBorder="1" applyAlignment="1">
      <alignment horizontal="center"/>
    </xf>
    <xf numFmtId="0" fontId="24" fillId="12" borderId="6" xfId="0" applyFont="1" applyFill="1" applyBorder="1" applyAlignment="1">
      <alignment horizontal="center"/>
    </xf>
    <xf numFmtId="0" fontId="24" fillId="13" borderId="6" xfId="0" applyFont="1" applyFill="1" applyBorder="1" applyAlignment="1">
      <alignment horizontal="right"/>
    </xf>
    <xf numFmtId="0" fontId="24" fillId="6" borderId="6" xfId="0" applyFont="1" applyFill="1" applyBorder="1" applyAlignment="1">
      <alignment horizontal="right"/>
    </xf>
    <xf numFmtId="0" fontId="23" fillId="6" borderId="11" xfId="0" applyFont="1" applyFill="1" applyBorder="1" applyAlignment="1">
      <alignment horizontal="right"/>
    </xf>
    <xf numFmtId="0" fontId="23" fillId="13" borderId="14" xfId="0" applyFont="1" applyFill="1" applyBorder="1"/>
    <xf numFmtId="0" fontId="5" fillId="5" borderId="0" xfId="0" applyFont="1" applyFill="1" applyBorder="1" applyAlignment="1">
      <alignment horizontal="right"/>
    </xf>
    <xf numFmtId="0" fontId="23" fillId="14" borderId="0" xfId="0" applyFont="1" applyFill="1"/>
    <xf numFmtId="0" fontId="23" fillId="5" borderId="5" xfId="0" applyFont="1" applyFill="1" applyBorder="1"/>
    <xf numFmtId="0" fontId="23" fillId="5" borderId="7" xfId="0" applyFont="1" applyFill="1" applyBorder="1"/>
    <xf numFmtId="0" fontId="5" fillId="5" borderId="8" xfId="1" applyFont="1" applyFill="1" applyBorder="1"/>
    <xf numFmtId="0" fontId="23" fillId="5" borderId="9" xfId="0" applyFont="1" applyFill="1" applyBorder="1"/>
    <xf numFmtId="0" fontId="5" fillId="5" borderId="10" xfId="1" applyFont="1" applyFill="1" applyBorder="1"/>
    <xf numFmtId="0" fontId="23" fillId="5" borderId="12" xfId="0" applyFont="1" applyFill="1" applyBorder="1"/>
    <xf numFmtId="0" fontId="24" fillId="5" borderId="0" xfId="0" applyFont="1" applyFill="1" applyBorder="1"/>
    <xf numFmtId="0" fontId="23" fillId="5" borderId="0" xfId="0" applyFont="1" applyFill="1" applyBorder="1"/>
    <xf numFmtId="2" fontId="23" fillId="5" borderId="0" xfId="0" applyNumberFormat="1" applyFont="1" applyFill="1" applyBorder="1"/>
    <xf numFmtId="0" fontId="23" fillId="5" borderId="0" xfId="0" applyFont="1" applyFill="1" applyBorder="1" applyAlignment="1">
      <alignment horizontal="right"/>
    </xf>
    <xf numFmtId="167" fontId="23" fillId="5" borderId="0" xfId="0" applyNumberFormat="1" applyFont="1" applyFill="1" applyBorder="1"/>
    <xf numFmtId="166" fontId="23" fillId="5" borderId="0" xfId="0" applyNumberFormat="1" applyFont="1" applyFill="1" applyBorder="1"/>
    <xf numFmtId="168" fontId="23" fillId="5" borderId="0" xfId="0" applyNumberFormat="1" applyFont="1" applyFill="1" applyBorder="1"/>
    <xf numFmtId="0" fontId="24" fillId="5" borderId="11" xfId="0" applyFont="1" applyFill="1" applyBorder="1"/>
    <xf numFmtId="0" fontId="23" fillId="5" borderId="11" xfId="0" applyFont="1" applyFill="1" applyBorder="1"/>
    <xf numFmtId="0" fontId="23" fillId="5" borderId="11" xfId="0" applyFont="1" applyFill="1" applyBorder="1" applyAlignment="1">
      <alignment horizontal="right"/>
    </xf>
    <xf numFmtId="0" fontId="23" fillId="14" borderId="11" xfId="0" applyFont="1" applyFill="1" applyBorder="1"/>
    <xf numFmtId="0" fontId="23" fillId="5" borderId="6" xfId="0" applyFont="1" applyFill="1" applyBorder="1"/>
    <xf numFmtId="0" fontId="24" fillId="5" borderId="6" xfId="0" applyFont="1" applyFill="1" applyBorder="1"/>
    <xf numFmtId="0" fontId="24" fillId="14" borderId="6" xfId="0" applyFont="1" applyFill="1" applyBorder="1"/>
    <xf numFmtId="1" fontId="23" fillId="5" borderId="0" xfId="0" applyNumberFormat="1" applyFont="1" applyFill="1" applyBorder="1"/>
    <xf numFmtId="1" fontId="23" fillId="5" borderId="0" xfId="0" applyNumberFormat="1" applyFont="1" applyFill="1" applyBorder="1" applyAlignment="1">
      <alignment horizontal="right"/>
    </xf>
    <xf numFmtId="2" fontId="23" fillId="5" borderId="0" xfId="0" applyNumberFormat="1" applyFont="1" applyFill="1" applyBorder="1" applyAlignment="1">
      <alignment horizontal="right"/>
    </xf>
    <xf numFmtId="0" fontId="24" fillId="5" borderId="6" xfId="0" applyFont="1" applyFill="1" applyBorder="1" applyAlignment="1">
      <alignment horizontal="right"/>
    </xf>
    <xf numFmtId="0" fontId="13" fillId="4" borderId="16" xfId="1" applyFont="1" applyFill="1" applyBorder="1" applyAlignment="1" applyProtection="1">
      <alignment horizontal="center"/>
      <protection locked="0"/>
    </xf>
    <xf numFmtId="0" fontId="5" fillId="0" borderId="0" xfId="4" applyFont="1" applyFill="1" applyBorder="1" applyAlignment="1">
      <alignment horizontal="center"/>
    </xf>
    <xf numFmtId="167" fontId="5" fillId="0" borderId="0" xfId="4" applyNumberFormat="1" applyFont="1" applyFill="1" applyBorder="1" applyAlignment="1">
      <alignment horizontal="center"/>
    </xf>
    <xf numFmtId="0" fontId="21" fillId="0" borderId="0" xfId="0" applyFont="1" applyFill="1" applyBorder="1"/>
    <xf numFmtId="0" fontId="21" fillId="0" borderId="0" xfId="0" applyFont="1" applyFill="1" applyBorder="1" applyAlignment="1">
      <alignment horizontal="center"/>
    </xf>
    <xf numFmtId="0" fontId="5" fillId="0" borderId="0" xfId="0" applyFont="1" applyFill="1" applyBorder="1"/>
    <xf numFmtId="0" fontId="5" fillId="0" borderId="0" xfId="0" applyFont="1" applyFill="1" applyBorder="1" applyAlignment="1">
      <alignment horizontal="center"/>
    </xf>
    <xf numFmtId="0" fontId="5" fillId="0" borderId="0" xfId="1" applyFont="1" applyFill="1" applyBorder="1" applyAlignment="1">
      <alignment horizontal="right"/>
    </xf>
    <xf numFmtId="0" fontId="24" fillId="4" borderId="0" xfId="0" applyFont="1" applyFill="1" applyBorder="1" applyAlignment="1">
      <alignment horizontal="left"/>
    </xf>
    <xf numFmtId="0" fontId="21" fillId="4" borderId="6" xfId="1" applyFont="1" applyFill="1" applyBorder="1"/>
    <xf numFmtId="0" fontId="20" fillId="0" borderId="0" xfId="1" applyFont="1" applyFill="1" applyBorder="1" applyProtection="1">
      <protection locked="0"/>
    </xf>
    <xf numFmtId="0" fontId="5" fillId="4" borderId="9" xfId="1" applyFont="1" applyFill="1" applyBorder="1" applyAlignment="1">
      <alignment horizontal="right"/>
    </xf>
    <xf numFmtId="0" fontId="24" fillId="6" borderId="0" xfId="0" applyFont="1" applyFill="1" applyBorder="1" applyAlignment="1">
      <alignment horizontal="right"/>
    </xf>
    <xf numFmtId="0" fontId="5" fillId="6" borderId="0" xfId="0" applyFont="1" applyFill="1" applyBorder="1" applyAlignment="1">
      <alignment horizontal="right"/>
    </xf>
    <xf numFmtId="0" fontId="24" fillId="6" borderId="0" xfId="0" applyFont="1" applyFill="1" applyBorder="1" applyAlignment="1">
      <alignment horizontal="left"/>
    </xf>
    <xf numFmtId="0" fontId="29" fillId="6" borderId="0" xfId="0" applyFont="1" applyFill="1" applyBorder="1"/>
    <xf numFmtId="0" fontId="29" fillId="6" borderId="6" xfId="0" applyFont="1" applyFill="1" applyBorder="1"/>
    <xf numFmtId="0" fontId="23" fillId="6" borderId="6" xfId="0" applyFont="1" applyFill="1" applyBorder="1"/>
    <xf numFmtId="168" fontId="23" fillId="6" borderId="0" xfId="0" applyNumberFormat="1" applyFont="1" applyFill="1" applyBorder="1"/>
    <xf numFmtId="0" fontId="24" fillId="6" borderId="11" xfId="0" applyFont="1" applyFill="1" applyBorder="1" applyAlignment="1">
      <alignment horizontal="right"/>
    </xf>
    <xf numFmtId="0" fontId="29" fillId="13" borderId="0" xfId="0" applyFont="1" applyFill="1" applyBorder="1" applyAlignment="1">
      <alignment horizontal="left"/>
    </xf>
    <xf numFmtId="170" fontId="23" fillId="13" borderId="0" xfId="0" applyNumberFormat="1" applyFont="1" applyFill="1" applyBorder="1"/>
    <xf numFmtId="0" fontId="29" fillId="5" borderId="0" xfId="0" applyFont="1" applyFill="1" applyBorder="1" applyAlignment="1">
      <alignment horizontal="left"/>
    </xf>
    <xf numFmtId="0" fontId="24" fillId="5" borderId="0" xfId="0" applyFont="1" applyFill="1"/>
    <xf numFmtId="0" fontId="23" fillId="5" borderId="0" xfId="0" applyFont="1" applyFill="1" applyAlignment="1">
      <alignment horizontal="right"/>
    </xf>
    <xf numFmtId="0" fontId="29" fillId="7" borderId="0" xfId="0" applyFont="1" applyFill="1" applyBorder="1" applyAlignment="1">
      <alignment horizontal="left"/>
    </xf>
    <xf numFmtId="0" fontId="12" fillId="4" borderId="8" xfId="1" applyFont="1" applyFill="1" applyBorder="1" applyAlignment="1" applyProtection="1">
      <alignment horizontal="left"/>
    </xf>
    <xf numFmtId="171" fontId="5" fillId="7" borderId="11" xfId="4" applyNumberFormat="1" applyFont="1" applyFill="1" applyBorder="1"/>
    <xf numFmtId="0" fontId="5" fillId="7" borderId="11" xfId="4" applyFont="1" applyFill="1" applyBorder="1" applyAlignment="1">
      <alignment horizontal="right"/>
    </xf>
    <xf numFmtId="0" fontId="21" fillId="7" borderId="14" xfId="4" applyFont="1" applyFill="1" applyBorder="1"/>
    <xf numFmtId="2" fontId="5" fillId="7" borderId="14" xfId="4" applyNumberFormat="1" applyFont="1" applyFill="1" applyBorder="1"/>
    <xf numFmtId="171" fontId="5" fillId="7" borderId="14" xfId="4" applyNumberFormat="1" applyFont="1" applyFill="1" applyBorder="1"/>
    <xf numFmtId="0" fontId="5" fillId="7" borderId="14" xfId="4" applyFont="1" applyFill="1" applyBorder="1" applyAlignment="1">
      <alignment horizontal="right"/>
    </xf>
    <xf numFmtId="1" fontId="5" fillId="7" borderId="0" xfId="4" applyNumberFormat="1" applyFont="1" applyFill="1"/>
    <xf numFmtId="0" fontId="5" fillId="0" borderId="11" xfId="1" applyFont="1" applyFill="1" applyBorder="1" applyProtection="1">
      <protection locked="0"/>
    </xf>
    <xf numFmtId="0" fontId="29" fillId="4" borderId="13" xfId="1" applyFont="1" applyFill="1" applyBorder="1"/>
    <xf numFmtId="0" fontId="5" fillId="4" borderId="15" xfId="1" applyFont="1" applyFill="1" applyBorder="1"/>
    <xf numFmtId="0" fontId="5" fillId="4" borderId="9" xfId="1" applyFont="1" applyFill="1" applyBorder="1" applyAlignment="1" applyProtection="1">
      <alignment horizontal="right"/>
      <protection locked="0"/>
    </xf>
    <xf numFmtId="0" fontId="5" fillId="4" borderId="9" xfId="1" applyFont="1" applyFill="1" applyBorder="1"/>
    <xf numFmtId="0" fontId="21" fillId="4" borderId="5" xfId="1" applyFont="1" applyFill="1" applyBorder="1"/>
    <xf numFmtId="0" fontId="21" fillId="4" borderId="8" xfId="1" applyFont="1" applyFill="1" applyBorder="1" applyAlignment="1">
      <alignment horizontal="left"/>
    </xf>
    <xf numFmtId="0" fontId="24" fillId="4" borderId="8" xfId="0" applyFont="1" applyFill="1" applyBorder="1" applyAlignment="1">
      <alignment horizontal="left"/>
    </xf>
    <xf numFmtId="0" fontId="23" fillId="4" borderId="8" xfId="0" applyFont="1" applyFill="1" applyBorder="1" applyAlignment="1">
      <alignment horizontal="right"/>
    </xf>
    <xf numFmtId="0" fontId="5" fillId="4" borderId="12" xfId="1" applyFont="1" applyFill="1" applyBorder="1"/>
    <xf numFmtId="0" fontId="24" fillId="4" borderId="0" xfId="0" applyFont="1" applyFill="1" applyBorder="1" applyAlignment="1">
      <alignment horizontal="right"/>
    </xf>
    <xf numFmtId="3" fontId="12" fillId="4" borderId="15" xfId="3" applyNumberFormat="1" applyFont="1" applyFill="1" applyBorder="1" applyProtection="1"/>
    <xf numFmtId="0" fontId="12" fillId="4" borderId="8" xfId="1" applyFont="1" applyFill="1" applyBorder="1" applyAlignment="1" applyProtection="1">
      <alignment horizontal="right"/>
    </xf>
    <xf numFmtId="0" fontId="12" fillId="4" borderId="13" xfId="1" applyFont="1" applyFill="1" applyBorder="1" applyAlignment="1" applyProtection="1">
      <alignment horizontal="left"/>
    </xf>
    <xf numFmtId="0" fontId="13" fillId="4" borderId="14" xfId="1" applyFont="1" applyFill="1" applyBorder="1" applyAlignment="1" applyProtection="1">
      <alignment horizontal="left"/>
    </xf>
    <xf numFmtId="0" fontId="12" fillId="4" borderId="10" xfId="1" applyFont="1" applyFill="1" applyBorder="1" applyAlignment="1" applyProtection="1">
      <alignment horizontal="right"/>
    </xf>
    <xf numFmtId="0" fontId="5" fillId="4" borderId="6" xfId="1" applyFont="1" applyFill="1" applyBorder="1"/>
    <xf numFmtId="0" fontId="21" fillId="4" borderId="7" xfId="1" applyFont="1" applyFill="1" applyBorder="1"/>
    <xf numFmtId="0" fontId="5" fillId="6" borderId="0" xfId="0" applyFont="1" applyFill="1" applyBorder="1" applyAlignment="1">
      <alignment horizontal="center"/>
    </xf>
    <xf numFmtId="0" fontId="5" fillId="6" borderId="11" xfId="0" applyFont="1" applyFill="1" applyBorder="1" applyAlignment="1">
      <alignment horizontal="center"/>
    </xf>
    <xf numFmtId="3" fontId="12" fillId="4" borderId="9" xfId="1" applyNumberFormat="1" applyFont="1" applyFill="1" applyBorder="1" applyProtection="1"/>
    <xf numFmtId="0" fontId="12" fillId="4" borderId="0" xfId="1" applyFont="1" applyFill="1" applyBorder="1" applyAlignment="1" applyProtection="1">
      <alignment horizontal="left"/>
    </xf>
    <xf numFmtId="1" fontId="12" fillId="4" borderId="0" xfId="1" applyNumberFormat="1" applyFont="1" applyFill="1" applyBorder="1" applyAlignment="1" applyProtection="1">
      <alignment horizontal="left" vertical="top" wrapText="1"/>
    </xf>
    <xf numFmtId="2" fontId="12" fillId="4" borderId="0" xfId="1" applyNumberFormat="1" applyFont="1" applyFill="1" applyBorder="1" applyAlignment="1" applyProtection="1">
      <alignment horizontal="left" vertical="top" wrapText="1"/>
    </xf>
    <xf numFmtId="165" fontId="12" fillId="4" borderId="0" xfId="1" applyNumberFormat="1" applyFont="1" applyFill="1" applyBorder="1" applyAlignment="1" applyProtection="1">
      <alignment horizontal="left" vertical="top" wrapText="1"/>
    </xf>
    <xf numFmtId="0" fontId="12" fillId="4" borderId="11" xfId="1" applyFont="1" applyFill="1" applyBorder="1" applyAlignment="1" applyProtection="1">
      <alignment horizontal="left"/>
    </xf>
    <xf numFmtId="0" fontId="13" fillId="4" borderId="14" xfId="1" applyFont="1" applyFill="1" applyBorder="1" applyAlignment="1" applyProtection="1">
      <alignment horizontal="left" wrapText="1"/>
    </xf>
    <xf numFmtId="0" fontId="13" fillId="4" borderId="15" xfId="1" applyFont="1" applyFill="1" applyBorder="1" applyAlignment="1" applyProtection="1">
      <alignment horizontal="left" wrapText="1"/>
    </xf>
    <xf numFmtId="0" fontId="12" fillId="4" borderId="9" xfId="1" applyFont="1" applyFill="1" applyBorder="1" applyAlignment="1" applyProtection="1">
      <alignment horizontal="left"/>
    </xf>
    <xf numFmtId="1" fontId="12" fillId="4" borderId="9" xfId="1" applyNumberFormat="1" applyFont="1" applyFill="1" applyBorder="1" applyAlignment="1" applyProtection="1">
      <alignment horizontal="left" vertical="top" wrapText="1"/>
    </xf>
    <xf numFmtId="2" fontId="12" fillId="4" borderId="9" xfId="1" applyNumberFormat="1" applyFont="1" applyFill="1" applyBorder="1" applyAlignment="1" applyProtection="1">
      <alignment horizontal="left" vertical="top" wrapText="1"/>
    </xf>
    <xf numFmtId="165" fontId="12" fillId="4" borderId="9" xfId="1" applyNumberFormat="1" applyFont="1" applyFill="1" applyBorder="1" applyAlignment="1" applyProtection="1">
      <alignment horizontal="left" vertical="top" wrapText="1"/>
    </xf>
    <xf numFmtId="0" fontId="12" fillId="4" borderId="12" xfId="1" applyFont="1" applyFill="1" applyBorder="1" applyAlignment="1" applyProtection="1">
      <alignment horizontal="left"/>
    </xf>
    <xf numFmtId="0" fontId="13" fillId="4" borderId="15" xfId="1" applyFont="1" applyFill="1" applyBorder="1" applyAlignment="1" applyProtection="1">
      <alignment horizontal="left"/>
    </xf>
    <xf numFmtId="0" fontId="20" fillId="0" borderId="0" xfId="0" applyFont="1" applyAlignment="1"/>
    <xf numFmtId="0" fontId="13" fillId="4" borderId="6" xfId="1" applyFont="1" applyFill="1" applyBorder="1" applyAlignment="1" applyProtection="1"/>
    <xf numFmtId="0" fontId="24" fillId="0" borderId="0" xfId="0" applyFont="1" applyAlignment="1">
      <alignment horizontal="center"/>
    </xf>
    <xf numFmtId="0" fontId="21" fillId="10" borderId="11" xfId="0" applyFont="1" applyFill="1" applyBorder="1" applyAlignment="1">
      <alignment horizontal="center"/>
    </xf>
    <xf numFmtId="0" fontId="21" fillId="10" borderId="12" xfId="0" applyFont="1" applyFill="1" applyBorder="1" applyAlignment="1">
      <alignment horizontal="center"/>
    </xf>
    <xf numFmtId="0" fontId="21" fillId="10" borderId="0" xfId="0" applyFont="1" applyFill="1" applyBorder="1" applyAlignment="1">
      <alignment horizontal="center"/>
    </xf>
    <xf numFmtId="0" fontId="21" fillId="9" borderId="0" xfId="0" applyFont="1" applyFill="1" applyBorder="1" applyAlignment="1">
      <alignment vertical="top" wrapText="1"/>
    </xf>
    <xf numFmtId="0" fontId="0" fillId="0" borderId="0" xfId="0"/>
    <xf numFmtId="0" fontId="23" fillId="0" borderId="0" xfId="0" applyFont="1" applyFill="1" applyBorder="1" applyProtection="1">
      <protection locked="0"/>
    </xf>
    <xf numFmtId="2" fontId="23" fillId="0" borderId="0" xfId="0" applyNumberFormat="1" applyFont="1" applyFill="1" applyBorder="1" applyProtection="1">
      <protection locked="0"/>
    </xf>
    <xf numFmtId="0" fontId="5" fillId="0" borderId="14" xfId="1" applyFont="1" applyFill="1" applyBorder="1" applyProtection="1">
      <protection locked="0"/>
    </xf>
    <xf numFmtId="1" fontId="5" fillId="0" borderId="0" xfId="1" applyNumberFormat="1" applyFont="1" applyFill="1" applyBorder="1" applyProtection="1">
      <protection locked="0"/>
    </xf>
  </cellXfs>
  <cellStyles count="5">
    <cellStyle name="Comma 2" xfId="3"/>
    <cellStyle name="Hyperlink" xfId="2" builtinId="8"/>
    <cellStyle name="Normal" xfId="0" builtinId="0"/>
    <cellStyle name="Normal 2" xfId="1"/>
    <cellStyle name="Normal 3" xfId="4"/>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789363868948554"/>
          <c:y val="0.16770615211560108"/>
          <c:w val="0.65641769542214168"/>
          <c:h val="0.57166046551873362"/>
        </c:manualLayout>
      </c:layout>
      <c:pieChart>
        <c:varyColors val="1"/>
        <c:ser>
          <c:idx val="0"/>
          <c:order val="0"/>
          <c:spPr>
            <a:ln>
              <a:solidFill>
                <a:schemeClr val="tx1"/>
              </a:solidFill>
            </a:ln>
          </c:spPr>
          <c:explosion val="9"/>
          <c:dPt>
            <c:idx val="0"/>
            <c:bubble3D val="0"/>
            <c:spPr>
              <a:solidFill>
                <a:srgbClr val="FF0000"/>
              </a:solidFill>
              <a:ln>
                <a:solidFill>
                  <a:schemeClr val="tx1"/>
                </a:solidFill>
              </a:ln>
            </c:spPr>
          </c:dPt>
          <c:dPt>
            <c:idx val="1"/>
            <c:bubble3D val="0"/>
            <c:spPr>
              <a:solidFill>
                <a:srgbClr val="FFFF00"/>
              </a:solidFill>
              <a:ln>
                <a:solidFill>
                  <a:schemeClr val="tx1"/>
                </a:solidFill>
              </a:ln>
            </c:spPr>
          </c:dPt>
          <c:dPt>
            <c:idx val="4"/>
            <c:bubble3D val="0"/>
            <c:spPr>
              <a:solidFill>
                <a:srgbClr val="00B050"/>
              </a:solidFill>
              <a:ln>
                <a:solidFill>
                  <a:schemeClr val="tx1"/>
                </a:solidFill>
              </a:ln>
            </c:spPr>
          </c:dPt>
          <c:dPt>
            <c:idx val="5"/>
            <c:bubble3D val="0"/>
            <c:spPr>
              <a:solidFill>
                <a:srgbClr val="00B0F0"/>
              </a:solidFill>
              <a:ln>
                <a:solidFill>
                  <a:schemeClr val="tx1"/>
                </a:solidFill>
              </a:ln>
            </c:spPr>
          </c:dPt>
          <c:dLbls>
            <c:dLbl>
              <c:idx val="1"/>
              <c:layout>
                <c:manualLayout>
                  <c:x val="-4.6962983233520328E-2"/>
                  <c:y val="-0.29914882196192705"/>
                </c:manualLayout>
              </c:layout>
              <c:showLegendKey val="0"/>
              <c:showVal val="0"/>
              <c:showCatName val="1"/>
              <c:showSerName val="0"/>
              <c:showPercent val="1"/>
              <c:showBubbleSize val="0"/>
            </c:dLbl>
            <c:dLbl>
              <c:idx val="2"/>
              <c:layout>
                <c:manualLayout>
                  <c:x val="-0.36198234667180751"/>
                  <c:y val="0.21514971551833029"/>
                </c:manualLayout>
              </c:layout>
              <c:showLegendKey val="0"/>
              <c:showVal val="0"/>
              <c:showCatName val="1"/>
              <c:showSerName val="0"/>
              <c:showPercent val="1"/>
              <c:showBubbleSize val="0"/>
            </c:dLbl>
            <c:dLbl>
              <c:idx val="3"/>
              <c:layout>
                <c:manualLayout>
                  <c:x val="-2.3532369789593201E-2"/>
                  <c:y val="2.0981675079951842E-2"/>
                </c:manualLayout>
              </c:layout>
              <c:showLegendKey val="0"/>
              <c:showVal val="0"/>
              <c:showCatName val="1"/>
              <c:showSerName val="0"/>
              <c:showPercent val="1"/>
              <c:showBubbleSize val="0"/>
            </c:dLbl>
            <c:dLbl>
              <c:idx val="4"/>
              <c:layout>
                <c:manualLayout>
                  <c:x val="-3.2277178764043631E-2"/>
                  <c:y val="-4.5121489202666322E-2"/>
                </c:manualLayout>
              </c:layout>
              <c:showLegendKey val="0"/>
              <c:showVal val="0"/>
              <c:showCatName val="1"/>
              <c:showSerName val="0"/>
              <c:showPercent val="1"/>
              <c:showBubbleSize val="0"/>
            </c:dLbl>
            <c:dLbl>
              <c:idx val="5"/>
              <c:layout>
                <c:manualLayout>
                  <c:x val="0.21266002606512929"/>
                  <c:y val="1.0836584308625938E-3"/>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'Data summary'!$H$5:$H$9</c:f>
              <c:strCache>
                <c:ptCount val="5"/>
                <c:pt idx="0">
                  <c:v>CO2 -Energy</c:v>
                </c:pt>
                <c:pt idx="1">
                  <c:v>CH4 - Enteric</c:v>
                </c:pt>
                <c:pt idx="2">
                  <c:v>CH4 - Manure</c:v>
                </c:pt>
                <c:pt idx="3">
                  <c:v>N2O - Manure</c:v>
                </c:pt>
                <c:pt idx="4">
                  <c:v>N2O - Indirect ammonia</c:v>
                </c:pt>
              </c:strCache>
            </c:strRef>
          </c:cat>
          <c:val>
            <c:numRef>
              <c:f>'Data summary'!$I$5:$I$9</c:f>
              <c:numCache>
                <c:formatCode>#,##0</c:formatCode>
                <c:ptCount val="5"/>
                <c:pt idx="0">
                  <c:v>94.677517559999984</c:v>
                </c:pt>
                <c:pt idx="1">
                  <c:v>27153.973037852233</c:v>
                </c:pt>
                <c:pt idx="2">
                  <c:v>880.98056758938208</c:v>
                </c:pt>
                <c:pt idx="3">
                  <c:v>14199.187182338461</c:v>
                </c:pt>
                <c:pt idx="4">
                  <c:v>2129.8780773507697</c:v>
                </c:pt>
              </c:numCache>
            </c:numRef>
          </c:val>
        </c:ser>
        <c:dLbls>
          <c:showLegendKey val="0"/>
          <c:showVal val="0"/>
          <c:showCatName val="1"/>
          <c:showSerName val="0"/>
          <c:showPercent val="1"/>
          <c:showBubbleSize val="0"/>
          <c:showLeaderLines val="1"/>
        </c:dLbls>
        <c:firstSliceAng val="349"/>
      </c:pieChart>
      <c:spPr>
        <a:noFill/>
        <a:ln w="25400">
          <a:noFill/>
        </a:ln>
      </c:spPr>
    </c:plotArea>
    <c:plotVisOnly val="1"/>
    <c:dispBlanksAs val="zero"/>
    <c:showDLblsOverMax val="0"/>
  </c:chart>
  <c:spPr>
    <a:noFill/>
    <a:ln w="9525">
      <a:noFill/>
    </a:ln>
  </c:spPr>
  <c:txPr>
    <a:bodyPr/>
    <a:lstStyle/>
    <a:p>
      <a:pPr>
        <a:defRPr sz="900" b="0" i="0" u="none" strike="noStrike" baseline="0">
          <a:solidFill>
            <a:srgbClr val="000000"/>
          </a:solidFill>
          <a:latin typeface="Times New Roman" pitchFamily="18" charset="0"/>
          <a:ea typeface="Arial"/>
          <a:cs typeface="Times New Roman" pitchFamily="18" charset="0"/>
        </a:defRPr>
      </a:pPr>
      <a:endParaRPr lang="en-US"/>
    </a:p>
  </c:txPr>
  <c:printSettings>
    <c:headerFooter alignWithMargins="0"/>
    <c:pageMargins b="1" l="0.75000000000000178" r="0.75000000000000178"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008834961203639"/>
          <c:y val="0.39874388143501188"/>
          <c:w val="0.55752212389380529"/>
          <c:h val="0.61765297232089356"/>
        </c:manualLayout>
      </c:layout>
      <c:pieChart>
        <c:varyColors val="1"/>
        <c:ser>
          <c:idx val="0"/>
          <c:order val="0"/>
          <c:spPr>
            <a:ln>
              <a:solidFill>
                <a:sysClr val="windowText" lastClr="000000"/>
              </a:solidFill>
            </a:ln>
          </c:spPr>
          <c:explosion val="18"/>
          <c:dPt>
            <c:idx val="0"/>
            <c:bubble3D val="0"/>
            <c:spPr>
              <a:solidFill>
                <a:srgbClr val="FF0000"/>
              </a:solidFill>
              <a:ln>
                <a:solidFill>
                  <a:sysClr val="windowText" lastClr="000000"/>
                </a:solidFill>
              </a:ln>
            </c:spPr>
          </c:dPt>
          <c:dPt>
            <c:idx val="1"/>
            <c:bubble3D val="0"/>
            <c:spPr>
              <a:solidFill>
                <a:srgbClr val="FFFF00"/>
              </a:solidFill>
              <a:ln>
                <a:solidFill>
                  <a:sysClr val="windowText" lastClr="000000"/>
                </a:solidFill>
              </a:ln>
            </c:spPr>
          </c:dPt>
          <c:dPt>
            <c:idx val="2"/>
            <c:bubble3D val="0"/>
            <c:spPr>
              <a:solidFill>
                <a:srgbClr val="7030A0"/>
              </a:solidFill>
              <a:ln>
                <a:solidFill>
                  <a:sysClr val="windowText" lastClr="000000"/>
                </a:solidFill>
              </a:ln>
            </c:spPr>
          </c:dPt>
          <c:dLbls>
            <c:dLbl>
              <c:idx val="1"/>
              <c:layout>
                <c:manualLayout>
                  <c:x val="0.27104316240625564"/>
                  <c:y val="-6.563170727919368E-2"/>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'Data summary'!$J$5:$J$7</c:f>
              <c:strCache>
                <c:ptCount val="3"/>
                <c:pt idx="0">
                  <c:v>CO2</c:v>
                </c:pt>
                <c:pt idx="1">
                  <c:v>CH4</c:v>
                </c:pt>
                <c:pt idx="2">
                  <c:v>N2O</c:v>
                </c:pt>
              </c:strCache>
            </c:strRef>
          </c:cat>
          <c:val>
            <c:numRef>
              <c:f>'Data summary'!$K$5:$K$7</c:f>
              <c:numCache>
                <c:formatCode>_-* #,##0_-;\-* #,##0_-;_-* "-"??_-;_-@_-</c:formatCode>
                <c:ptCount val="3"/>
                <c:pt idx="0">
                  <c:v>94.677517559999984</c:v>
                </c:pt>
                <c:pt idx="1">
                  <c:v>28034.953605441613</c:v>
                </c:pt>
                <c:pt idx="2">
                  <c:v>16329.065259689231</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Times New Roman" pitchFamily="18" charset="0"/>
          <a:ea typeface="Times New Roman"/>
          <a:cs typeface="Times New Roman" pitchFamily="18" charset="0"/>
        </a:defRPr>
      </a:pPr>
      <a:endParaRPr lang="en-US"/>
    </a:p>
  </c:txPr>
  <c:printSettings>
    <c:headerFooter alignWithMargins="0"/>
    <c:pageMargins b="1" l="0.75000000000000178" r="0.75000000000000178" t="1" header="0.5" footer="0.5"/>
    <c:pageSetup paperSize="9"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A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40" b="1" i="0" u="none" strike="noStrike" baseline="0">
                <a:solidFill>
                  <a:srgbClr val="000000"/>
                </a:solidFill>
                <a:latin typeface="Times New Roman"/>
                <a:ea typeface="Times New Roman"/>
                <a:cs typeface="Times New Roman"/>
              </a:defRPr>
            </a:pPr>
            <a:r>
              <a:rPr lang="en-AU"/>
              <a:t>Carbon sequestration for forests</a:t>
            </a:r>
          </a:p>
        </c:rich>
      </c:tx>
      <c:overlay val="1"/>
    </c:title>
    <c:autoTitleDeleted val="0"/>
    <c:plotArea>
      <c:layout/>
      <c:lineChart>
        <c:grouping val="standard"/>
        <c:varyColors val="0"/>
        <c:ser>
          <c:idx val="0"/>
          <c:order val="0"/>
          <c:tx>
            <c:strRef>
              <c:f>Trees!$B$4</c:f>
              <c:strCache>
                <c:ptCount val="1"/>
                <c:pt idx="0">
                  <c:v>High</c:v>
                </c:pt>
              </c:strCache>
            </c:strRef>
          </c:tx>
          <c:cat>
            <c:numRef>
              <c:f>Trees!$C$3:$AG$3</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Trees!$C$4:$AG$4</c:f>
              <c:numCache>
                <c:formatCode>General</c:formatCode>
                <c:ptCount val="31"/>
                <c:pt idx="0">
                  <c:v>0</c:v>
                </c:pt>
                <c:pt idx="1">
                  <c:v>2</c:v>
                </c:pt>
                <c:pt idx="2">
                  <c:v>5</c:v>
                </c:pt>
                <c:pt idx="3">
                  <c:v>19</c:v>
                </c:pt>
                <c:pt idx="4">
                  <c:v>41</c:v>
                </c:pt>
                <c:pt idx="5">
                  <c:v>68</c:v>
                </c:pt>
                <c:pt idx="6">
                  <c:v>98</c:v>
                </c:pt>
                <c:pt idx="7">
                  <c:v>128</c:v>
                </c:pt>
                <c:pt idx="8">
                  <c:v>159</c:v>
                </c:pt>
                <c:pt idx="9">
                  <c:v>188</c:v>
                </c:pt>
                <c:pt idx="10">
                  <c:v>217</c:v>
                </c:pt>
                <c:pt idx="11">
                  <c:v>244</c:v>
                </c:pt>
                <c:pt idx="12">
                  <c:v>269</c:v>
                </c:pt>
                <c:pt idx="13">
                  <c:v>293</c:v>
                </c:pt>
                <c:pt idx="14">
                  <c:v>316</c:v>
                </c:pt>
                <c:pt idx="15">
                  <c:v>333</c:v>
                </c:pt>
                <c:pt idx="16">
                  <c:v>356</c:v>
                </c:pt>
                <c:pt idx="17">
                  <c:v>374</c:v>
                </c:pt>
                <c:pt idx="18">
                  <c:v>391</c:v>
                </c:pt>
                <c:pt idx="19">
                  <c:v>407</c:v>
                </c:pt>
                <c:pt idx="20">
                  <c:v>422</c:v>
                </c:pt>
                <c:pt idx="21">
                  <c:v>436</c:v>
                </c:pt>
                <c:pt idx="22">
                  <c:v>449</c:v>
                </c:pt>
                <c:pt idx="23">
                  <c:v>461</c:v>
                </c:pt>
                <c:pt idx="24">
                  <c:v>472</c:v>
                </c:pt>
                <c:pt idx="25">
                  <c:v>482</c:v>
                </c:pt>
                <c:pt idx="26">
                  <c:v>492</c:v>
                </c:pt>
                <c:pt idx="27">
                  <c:v>502</c:v>
                </c:pt>
                <c:pt idx="28">
                  <c:v>510</c:v>
                </c:pt>
                <c:pt idx="29">
                  <c:v>518</c:v>
                </c:pt>
                <c:pt idx="30">
                  <c:v>526</c:v>
                </c:pt>
              </c:numCache>
            </c:numRef>
          </c:val>
          <c:smooth val="0"/>
        </c:ser>
        <c:ser>
          <c:idx val="1"/>
          <c:order val="1"/>
          <c:tx>
            <c:strRef>
              <c:f>Trees!$B$5</c:f>
              <c:strCache>
                <c:ptCount val="1"/>
                <c:pt idx="0">
                  <c:v>Med-High</c:v>
                </c:pt>
              </c:strCache>
            </c:strRef>
          </c:tx>
          <c:cat>
            <c:numRef>
              <c:f>Trees!$C$3:$AG$3</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Trees!$C$5:$AG$5</c:f>
              <c:numCache>
                <c:formatCode>General</c:formatCode>
                <c:ptCount val="31"/>
                <c:pt idx="0">
                  <c:v>0</c:v>
                </c:pt>
                <c:pt idx="1">
                  <c:v>0</c:v>
                </c:pt>
                <c:pt idx="2">
                  <c:v>1</c:v>
                </c:pt>
                <c:pt idx="3">
                  <c:v>5</c:v>
                </c:pt>
                <c:pt idx="4">
                  <c:v>16</c:v>
                </c:pt>
                <c:pt idx="5">
                  <c:v>32</c:v>
                </c:pt>
                <c:pt idx="6">
                  <c:v>52</c:v>
                </c:pt>
                <c:pt idx="7">
                  <c:v>75</c:v>
                </c:pt>
                <c:pt idx="8">
                  <c:v>98</c:v>
                </c:pt>
                <c:pt idx="9">
                  <c:v>122</c:v>
                </c:pt>
                <c:pt idx="10">
                  <c:v>146</c:v>
                </c:pt>
                <c:pt idx="11">
                  <c:v>169</c:v>
                </c:pt>
                <c:pt idx="12">
                  <c:v>191</c:v>
                </c:pt>
                <c:pt idx="13">
                  <c:v>213</c:v>
                </c:pt>
                <c:pt idx="14">
                  <c:v>234</c:v>
                </c:pt>
                <c:pt idx="15">
                  <c:v>254</c:v>
                </c:pt>
                <c:pt idx="16">
                  <c:v>272</c:v>
                </c:pt>
                <c:pt idx="17">
                  <c:v>290</c:v>
                </c:pt>
                <c:pt idx="18">
                  <c:v>306</c:v>
                </c:pt>
                <c:pt idx="19">
                  <c:v>322</c:v>
                </c:pt>
                <c:pt idx="20">
                  <c:v>337</c:v>
                </c:pt>
                <c:pt idx="21">
                  <c:v>351</c:v>
                </c:pt>
                <c:pt idx="22">
                  <c:v>364</c:v>
                </c:pt>
                <c:pt idx="23">
                  <c:v>377</c:v>
                </c:pt>
                <c:pt idx="24">
                  <c:v>388</c:v>
                </c:pt>
                <c:pt idx="25">
                  <c:v>399</c:v>
                </c:pt>
                <c:pt idx="26">
                  <c:v>410</c:v>
                </c:pt>
                <c:pt idx="27">
                  <c:v>420</c:v>
                </c:pt>
                <c:pt idx="28">
                  <c:v>430</c:v>
                </c:pt>
                <c:pt idx="29">
                  <c:v>439</c:v>
                </c:pt>
                <c:pt idx="30">
                  <c:v>447</c:v>
                </c:pt>
              </c:numCache>
            </c:numRef>
          </c:val>
          <c:smooth val="0"/>
        </c:ser>
        <c:ser>
          <c:idx val="2"/>
          <c:order val="2"/>
          <c:tx>
            <c:strRef>
              <c:f>Trees!$B$6</c:f>
              <c:strCache>
                <c:ptCount val="1"/>
                <c:pt idx="0">
                  <c:v>Med</c:v>
                </c:pt>
              </c:strCache>
            </c:strRef>
          </c:tx>
          <c:cat>
            <c:numRef>
              <c:f>Trees!$C$3:$AG$3</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Trees!$C$6:$AG$6</c:f>
              <c:numCache>
                <c:formatCode>General</c:formatCode>
                <c:ptCount val="31"/>
                <c:pt idx="0">
                  <c:v>0</c:v>
                </c:pt>
                <c:pt idx="1">
                  <c:v>0</c:v>
                </c:pt>
                <c:pt idx="2">
                  <c:v>1</c:v>
                </c:pt>
                <c:pt idx="3">
                  <c:v>5</c:v>
                </c:pt>
                <c:pt idx="4">
                  <c:v>10</c:v>
                </c:pt>
                <c:pt idx="5">
                  <c:v>19</c:v>
                </c:pt>
                <c:pt idx="6">
                  <c:v>29</c:v>
                </c:pt>
                <c:pt idx="7">
                  <c:v>41</c:v>
                </c:pt>
                <c:pt idx="8">
                  <c:v>54</c:v>
                </c:pt>
                <c:pt idx="9">
                  <c:v>68</c:v>
                </c:pt>
                <c:pt idx="10">
                  <c:v>83</c:v>
                </c:pt>
                <c:pt idx="11">
                  <c:v>99</c:v>
                </c:pt>
                <c:pt idx="12">
                  <c:v>115</c:v>
                </c:pt>
                <c:pt idx="13">
                  <c:v>131</c:v>
                </c:pt>
                <c:pt idx="14">
                  <c:v>147</c:v>
                </c:pt>
                <c:pt idx="15">
                  <c:v>163</c:v>
                </c:pt>
                <c:pt idx="16">
                  <c:v>179</c:v>
                </c:pt>
                <c:pt idx="17">
                  <c:v>196</c:v>
                </c:pt>
                <c:pt idx="18">
                  <c:v>211</c:v>
                </c:pt>
                <c:pt idx="19">
                  <c:v>227</c:v>
                </c:pt>
                <c:pt idx="20">
                  <c:v>242</c:v>
                </c:pt>
                <c:pt idx="21">
                  <c:v>258</c:v>
                </c:pt>
                <c:pt idx="22">
                  <c:v>273</c:v>
                </c:pt>
                <c:pt idx="23">
                  <c:v>287</c:v>
                </c:pt>
                <c:pt idx="24">
                  <c:v>301</c:v>
                </c:pt>
                <c:pt idx="25">
                  <c:v>316</c:v>
                </c:pt>
                <c:pt idx="26">
                  <c:v>329</c:v>
                </c:pt>
                <c:pt idx="27">
                  <c:v>343</c:v>
                </c:pt>
                <c:pt idx="28">
                  <c:v>356</c:v>
                </c:pt>
                <c:pt idx="29">
                  <c:v>369</c:v>
                </c:pt>
                <c:pt idx="30">
                  <c:v>382</c:v>
                </c:pt>
              </c:numCache>
            </c:numRef>
          </c:val>
          <c:smooth val="0"/>
        </c:ser>
        <c:ser>
          <c:idx val="3"/>
          <c:order val="3"/>
          <c:tx>
            <c:strRef>
              <c:f>Trees!$B$7</c:f>
              <c:strCache>
                <c:ptCount val="1"/>
                <c:pt idx="0">
                  <c:v>Med-Low</c:v>
                </c:pt>
              </c:strCache>
            </c:strRef>
          </c:tx>
          <c:cat>
            <c:numRef>
              <c:f>Trees!$C$3:$AG$3</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Trees!$C$7:$AG$7</c:f>
              <c:numCache>
                <c:formatCode>General</c:formatCode>
                <c:ptCount val="31"/>
                <c:pt idx="0">
                  <c:v>0</c:v>
                </c:pt>
                <c:pt idx="1">
                  <c:v>0</c:v>
                </c:pt>
                <c:pt idx="2">
                  <c:v>0</c:v>
                </c:pt>
                <c:pt idx="3">
                  <c:v>0</c:v>
                </c:pt>
                <c:pt idx="4">
                  <c:v>1</c:v>
                </c:pt>
                <c:pt idx="5">
                  <c:v>3</c:v>
                </c:pt>
                <c:pt idx="6">
                  <c:v>6</c:v>
                </c:pt>
                <c:pt idx="7">
                  <c:v>10</c:v>
                </c:pt>
                <c:pt idx="8">
                  <c:v>16</c:v>
                </c:pt>
                <c:pt idx="9">
                  <c:v>23</c:v>
                </c:pt>
                <c:pt idx="10">
                  <c:v>32</c:v>
                </c:pt>
                <c:pt idx="11">
                  <c:v>42</c:v>
                </c:pt>
                <c:pt idx="12">
                  <c:v>53</c:v>
                </c:pt>
                <c:pt idx="13">
                  <c:v>65</c:v>
                </c:pt>
                <c:pt idx="14">
                  <c:v>78</c:v>
                </c:pt>
                <c:pt idx="15">
                  <c:v>91</c:v>
                </c:pt>
                <c:pt idx="16">
                  <c:v>104</c:v>
                </c:pt>
                <c:pt idx="17">
                  <c:v>118</c:v>
                </c:pt>
                <c:pt idx="18">
                  <c:v>132</c:v>
                </c:pt>
                <c:pt idx="19">
                  <c:v>146</c:v>
                </c:pt>
                <c:pt idx="20">
                  <c:v>159</c:v>
                </c:pt>
                <c:pt idx="21">
                  <c:v>173</c:v>
                </c:pt>
                <c:pt idx="22">
                  <c:v>187</c:v>
                </c:pt>
                <c:pt idx="23">
                  <c:v>201</c:v>
                </c:pt>
                <c:pt idx="24">
                  <c:v>214</c:v>
                </c:pt>
                <c:pt idx="25">
                  <c:v>228</c:v>
                </c:pt>
                <c:pt idx="26">
                  <c:v>241</c:v>
                </c:pt>
                <c:pt idx="27">
                  <c:v>254</c:v>
                </c:pt>
                <c:pt idx="28">
                  <c:v>267</c:v>
                </c:pt>
                <c:pt idx="29">
                  <c:v>279</c:v>
                </c:pt>
                <c:pt idx="30">
                  <c:v>291</c:v>
                </c:pt>
              </c:numCache>
            </c:numRef>
          </c:val>
          <c:smooth val="0"/>
        </c:ser>
        <c:ser>
          <c:idx val="4"/>
          <c:order val="4"/>
          <c:tx>
            <c:strRef>
              <c:f>Trees!$B$8</c:f>
              <c:strCache>
                <c:ptCount val="1"/>
                <c:pt idx="0">
                  <c:v>Low</c:v>
                </c:pt>
              </c:strCache>
            </c:strRef>
          </c:tx>
          <c:cat>
            <c:numRef>
              <c:f>Trees!$C$3:$AG$3</c:f>
              <c:numCache>
                <c:formatCode>General</c:formatCod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numCache>
            </c:numRef>
          </c:cat>
          <c:val>
            <c:numRef>
              <c:f>Trees!$C$8:$AG$8</c:f>
              <c:numCache>
                <c:formatCode>General</c:formatCode>
                <c:ptCount val="31"/>
                <c:pt idx="0">
                  <c:v>0</c:v>
                </c:pt>
                <c:pt idx="1">
                  <c:v>0</c:v>
                </c:pt>
                <c:pt idx="2">
                  <c:v>0</c:v>
                </c:pt>
                <c:pt idx="3">
                  <c:v>0</c:v>
                </c:pt>
                <c:pt idx="4">
                  <c:v>1</c:v>
                </c:pt>
                <c:pt idx="5">
                  <c:v>2</c:v>
                </c:pt>
                <c:pt idx="6">
                  <c:v>4</c:v>
                </c:pt>
                <c:pt idx="7">
                  <c:v>7</c:v>
                </c:pt>
                <c:pt idx="8">
                  <c:v>11</c:v>
                </c:pt>
                <c:pt idx="9">
                  <c:v>16</c:v>
                </c:pt>
                <c:pt idx="10">
                  <c:v>21</c:v>
                </c:pt>
                <c:pt idx="11">
                  <c:v>28</c:v>
                </c:pt>
                <c:pt idx="12">
                  <c:v>35</c:v>
                </c:pt>
                <c:pt idx="13">
                  <c:v>43</c:v>
                </c:pt>
                <c:pt idx="14">
                  <c:v>52</c:v>
                </c:pt>
                <c:pt idx="15">
                  <c:v>60</c:v>
                </c:pt>
                <c:pt idx="16">
                  <c:v>69</c:v>
                </c:pt>
                <c:pt idx="17">
                  <c:v>78</c:v>
                </c:pt>
                <c:pt idx="18">
                  <c:v>87</c:v>
                </c:pt>
                <c:pt idx="19">
                  <c:v>97</c:v>
                </c:pt>
                <c:pt idx="20">
                  <c:v>106</c:v>
                </c:pt>
                <c:pt idx="21">
                  <c:v>115</c:v>
                </c:pt>
                <c:pt idx="22">
                  <c:v>124</c:v>
                </c:pt>
                <c:pt idx="23">
                  <c:v>133</c:v>
                </c:pt>
                <c:pt idx="24">
                  <c:v>142</c:v>
                </c:pt>
                <c:pt idx="25">
                  <c:v>151</c:v>
                </c:pt>
                <c:pt idx="26">
                  <c:v>160</c:v>
                </c:pt>
                <c:pt idx="27">
                  <c:v>168</c:v>
                </c:pt>
                <c:pt idx="28">
                  <c:v>177</c:v>
                </c:pt>
                <c:pt idx="29">
                  <c:v>185</c:v>
                </c:pt>
                <c:pt idx="30">
                  <c:v>193</c:v>
                </c:pt>
              </c:numCache>
            </c:numRef>
          </c:val>
          <c:smooth val="0"/>
        </c:ser>
        <c:dLbls>
          <c:showLegendKey val="0"/>
          <c:showVal val="0"/>
          <c:showCatName val="0"/>
          <c:showSerName val="0"/>
          <c:showPercent val="0"/>
          <c:showBubbleSize val="0"/>
        </c:dLbls>
        <c:marker val="1"/>
        <c:smooth val="0"/>
        <c:axId val="34857984"/>
        <c:axId val="41892032"/>
      </c:lineChart>
      <c:catAx>
        <c:axId val="34857984"/>
        <c:scaling>
          <c:orientation val="minMax"/>
        </c:scaling>
        <c:delete val="0"/>
        <c:axPos val="b"/>
        <c:title>
          <c:tx>
            <c:rich>
              <a:bodyPr/>
              <a:lstStyle/>
              <a:p>
                <a:pPr>
                  <a:defRPr sz="1200" b="1" i="0" u="none" strike="noStrike" baseline="0">
                    <a:solidFill>
                      <a:srgbClr val="000000"/>
                    </a:solidFill>
                    <a:latin typeface="Times New Roman"/>
                    <a:ea typeface="Times New Roman"/>
                    <a:cs typeface="Times New Roman"/>
                  </a:defRPr>
                </a:pPr>
                <a:r>
                  <a:rPr lang="en-AU"/>
                  <a:t>Years</a:t>
                </a:r>
              </a:p>
            </c:rich>
          </c:tx>
          <c:overlay val="0"/>
        </c:title>
        <c:numFmt formatCode="General" sourceLinked="1"/>
        <c:majorTickMark val="out"/>
        <c:minorTickMark val="none"/>
        <c:tickLblPos val="nextTo"/>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41892032"/>
        <c:crosses val="autoZero"/>
        <c:auto val="1"/>
        <c:lblAlgn val="ctr"/>
        <c:lblOffset val="100"/>
        <c:noMultiLvlLbl val="0"/>
      </c:catAx>
      <c:valAx>
        <c:axId val="41892032"/>
        <c:scaling>
          <c:orientation val="minMax"/>
        </c:scaling>
        <c:delete val="0"/>
        <c:axPos val="l"/>
        <c:title>
          <c:tx>
            <c:rich>
              <a:bodyPr/>
              <a:lstStyle/>
              <a:p>
                <a:pPr>
                  <a:defRPr sz="1200" b="1" i="0" u="none" strike="noStrike" baseline="0">
                    <a:solidFill>
                      <a:srgbClr val="000000"/>
                    </a:solidFill>
                    <a:latin typeface="Times New Roman"/>
                    <a:ea typeface="Times New Roman"/>
                    <a:cs typeface="Times New Roman"/>
                  </a:defRPr>
                </a:pPr>
                <a:r>
                  <a:rPr lang="en-AU"/>
                  <a:t>t CO2-e/ha (Inc. trees &amp; debris)</a:t>
                </a:r>
              </a:p>
            </c:rich>
          </c:tx>
          <c:overlay val="0"/>
        </c:title>
        <c:numFmt formatCode="General" sourceLinked="1"/>
        <c:majorTickMark val="out"/>
        <c:minorTickMark val="none"/>
        <c:tickLblPos val="nextTo"/>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34857984"/>
        <c:crosses val="autoZero"/>
        <c:crossBetween val="between"/>
      </c:valAx>
      <c:spPr>
        <a:noFill/>
        <a:ln w="25400">
          <a:noFill/>
        </a:ln>
      </c:spPr>
    </c:plotArea>
    <c:legend>
      <c:legendPos val="r"/>
      <c:layout>
        <c:manualLayout>
          <c:xMode val="edge"/>
          <c:yMode val="edge"/>
          <c:x val="0.87220779708166507"/>
          <c:y val="0.31350174477618215"/>
          <c:w val="0.11438796356889686"/>
          <c:h val="0.36384499420410077"/>
        </c:manualLayout>
      </c:layout>
      <c:overlay val="0"/>
      <c:txPr>
        <a:bodyPr/>
        <a:lstStyle/>
        <a:p>
          <a:pPr>
            <a:defRPr sz="1100"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c:pageMargins b="0.75000000000000155" l="0.70000000000000062" r="0.70000000000000062" t="0.75000000000000155" header="0.30000000000000032" footer="0.30000000000000032"/>
    <c:pageSetup/>
  </c:printSettings>
</c:chartSpace>
</file>

<file path=xl/ctrlProps/ctrlProp1.xml><?xml version="1.0" encoding="utf-8"?>
<formControlPr xmlns="http://schemas.microsoft.com/office/spreadsheetml/2009/9/main" objectType="Drop" dropLines="10" dropStyle="combo" dx="20" fmlaLink="$J$25" fmlaRange="Trees!$B$28:$B$30" sel="3" val="0"/>
</file>

<file path=xl/ctrlProps/ctrlProp2.xml><?xml version="1.0" encoding="utf-8"?>
<formControlPr xmlns="http://schemas.microsoft.com/office/spreadsheetml/2009/9/main" objectType="Drop" dropLines="10" dropStyle="combo" dx="20" fmlaLink="$J$22" fmlaRange="Trees!$B$12:$B$25" sel="3" val="0"/>
</file>

<file path=xl/ctrlProps/ctrlProp3.xml><?xml version="1.0" encoding="utf-8"?>
<formControlPr xmlns="http://schemas.microsoft.com/office/spreadsheetml/2009/9/main" objectType="Drop" dropLines="10" dropStyle="combo" dx="20" fmlaLink="$J$19" fmlaRange="'Electricity &amp; Diesel'!$B$38:$B$45" val="0"/>
</file>

<file path=xl/ctrlProps/ctrlProp4.xml><?xml version="1.0" encoding="utf-8"?>
<formControlPr xmlns="http://schemas.microsoft.com/office/spreadsheetml/2009/9/main" objectType="Drop" dropLines="7" dropStyle="combo" dx="20" fmlaLink="$J$16" fmlaRange="$Q$2:$Q$8"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9006840</xdr:colOff>
      <xdr:row>1</xdr:row>
      <xdr:rowOff>472440</xdr:rowOff>
    </xdr:from>
    <xdr:to>
      <xdr:col>1</xdr:col>
      <xdr:colOff>9814560</xdr:colOff>
      <xdr:row>1</xdr:row>
      <xdr:rowOff>472440</xdr:rowOff>
    </xdr:to>
    <xdr:pic>
      <xdr:nvPicPr>
        <xdr:cNvPr id="3" name="Picture 33" descr="MINCMYK"/>
        <xdr:cNvPicPr>
          <a:picLocks noChangeAspect="1" noChangeArrowheads="1"/>
        </xdr:cNvPicPr>
      </xdr:nvPicPr>
      <xdr:blipFill>
        <a:blip xmlns:r="http://schemas.openxmlformats.org/officeDocument/2006/relationships" r:embed="rId1"/>
        <a:srcRect/>
        <a:stretch>
          <a:fillRect/>
        </a:stretch>
      </xdr:blipFill>
      <xdr:spPr bwMode="auto">
        <a:xfrm>
          <a:off x="9174480" y="868680"/>
          <a:ext cx="807720" cy="0"/>
        </a:xfrm>
        <a:prstGeom prst="rect">
          <a:avLst/>
        </a:prstGeom>
        <a:noFill/>
        <a:ln w="9525" algn="ctr">
          <a:solidFill>
            <a:srgbClr val="000000"/>
          </a:solidFill>
          <a:miter lim="800000"/>
          <a:headEnd/>
          <a:tailEnd/>
        </a:ln>
      </xdr:spPr>
    </xdr:pic>
    <xdr:clientData/>
  </xdr:twoCellAnchor>
  <xdr:twoCellAnchor editAs="oneCell">
    <xdr:from>
      <xdr:col>1</xdr:col>
      <xdr:colOff>8991600</xdr:colOff>
      <xdr:row>1</xdr:row>
      <xdr:rowOff>403860</xdr:rowOff>
    </xdr:from>
    <xdr:to>
      <xdr:col>1</xdr:col>
      <xdr:colOff>9822180</xdr:colOff>
      <xdr:row>1</xdr:row>
      <xdr:rowOff>1152098</xdr:rowOff>
    </xdr:to>
    <xdr:pic>
      <xdr:nvPicPr>
        <xdr:cNvPr id="4" name="Picture 33" descr="MINCMYK"/>
        <xdr:cNvPicPr>
          <a:picLocks noChangeAspect="1" noChangeArrowheads="1"/>
        </xdr:cNvPicPr>
      </xdr:nvPicPr>
      <xdr:blipFill>
        <a:blip xmlns:r="http://schemas.openxmlformats.org/officeDocument/2006/relationships" r:embed="rId1" cstate="print"/>
        <a:srcRect/>
        <a:stretch>
          <a:fillRect/>
        </a:stretch>
      </xdr:blipFill>
      <xdr:spPr bwMode="auto">
        <a:xfrm>
          <a:off x="9163050" y="803910"/>
          <a:ext cx="830580" cy="748238"/>
        </a:xfrm>
        <a:prstGeom prst="rect">
          <a:avLst/>
        </a:prstGeom>
        <a:noFill/>
        <a:ln w="9525" algn="ctr">
          <a:solidFill>
            <a:srgbClr val="000000"/>
          </a:solidFill>
          <a:miter lim="800000"/>
          <a:headEnd/>
          <a:tailEnd/>
        </a:ln>
      </xdr:spPr>
    </xdr:pic>
    <xdr:clientData/>
  </xdr:twoCellAnchor>
  <xdr:twoCellAnchor>
    <xdr:from>
      <xdr:col>1</xdr:col>
      <xdr:colOff>5962650</xdr:colOff>
      <xdr:row>9</xdr:row>
      <xdr:rowOff>200025</xdr:rowOff>
    </xdr:from>
    <xdr:to>
      <xdr:col>1</xdr:col>
      <xdr:colOff>9362012</xdr:colOff>
      <xdr:row>12</xdr:row>
      <xdr:rowOff>161925</xdr:rowOff>
    </xdr:to>
    <xdr:sp macro="" textlink="">
      <xdr:nvSpPr>
        <xdr:cNvPr id="5" name="AutoShape 42"/>
        <xdr:cNvSpPr>
          <a:spLocks noChangeArrowheads="1"/>
        </xdr:cNvSpPr>
      </xdr:nvSpPr>
      <xdr:spPr bwMode="auto">
        <a:xfrm flipH="1">
          <a:off x="6134100" y="4714875"/>
          <a:ext cx="3399362" cy="733425"/>
        </a:xfrm>
        <a:prstGeom prst="roundRect">
          <a:avLst>
            <a:gd name="adj" fmla="val 16667"/>
          </a:avLst>
        </a:prstGeom>
        <a:solidFill>
          <a:srgbClr val="FFFF00"/>
        </a:solidFill>
        <a:ln w="9525">
          <a:solidFill>
            <a:srgbClr val="000000"/>
          </a:solidFill>
          <a:round/>
          <a:headEnd/>
          <a:tailEnd/>
        </a:ln>
      </xdr:spPr>
      <xdr:txBody>
        <a:bodyPr vertOverflow="clip" wrap="square" lIns="27432" tIns="22860" rIns="0" bIns="0" anchor="ctr" upright="1"/>
        <a:lstStyle/>
        <a:p>
          <a:pPr algn="ctr" rtl="0">
            <a:defRPr sz="1000"/>
          </a:pPr>
          <a:r>
            <a:rPr lang="en-AU" sz="1100" b="0" i="0" u="none" strike="noStrike" baseline="0">
              <a:solidFill>
                <a:srgbClr val="000000"/>
              </a:solidFill>
              <a:latin typeface="Times New Roman" pitchFamily="18" charset="0"/>
              <a:cs typeface="Times New Roman" pitchFamily="18" charset="0"/>
            </a:rPr>
            <a:t>Şeyda Özkan and Richard Eckard (2012).</a:t>
          </a:r>
        </a:p>
        <a:p>
          <a:pPr algn="ctr" rtl="0">
            <a:defRPr sz="1000"/>
          </a:pPr>
          <a:r>
            <a:rPr lang="en-AU" sz="1100" b="0" i="0" u="none" strike="noStrike" baseline="0">
              <a:solidFill>
                <a:srgbClr val="000000"/>
              </a:solidFill>
              <a:latin typeface="Times New Roman" pitchFamily="18" charset="0"/>
              <a:cs typeface="Times New Roman" pitchFamily="18" charset="0"/>
            </a:rPr>
            <a:t>Feedlot Greenhouse Accounting Framework (F-GAF).</a:t>
          </a:r>
        </a:p>
        <a:p>
          <a:pPr algn="ctr" rtl="0">
            <a:defRPr sz="1000"/>
          </a:pPr>
          <a:r>
            <a:rPr lang="en-AU" sz="1100" b="0" i="0" baseline="0">
              <a:latin typeface="Times New Roman" pitchFamily="18" charset="0"/>
              <a:ea typeface="+mn-ea"/>
              <a:cs typeface="Times New Roman" pitchFamily="18" charset="0"/>
            </a:rPr>
            <a:t>http://www.greenhouse.unimelb.edu.au/Tools.htm</a:t>
          </a:r>
          <a:endParaRPr lang="en-AU" sz="1100" b="0" i="0" u="none" strike="noStrike" baseline="0">
            <a:solidFill>
              <a:sysClr val="windowText" lastClr="000000"/>
            </a:solidFill>
            <a:latin typeface="Times New Roman" pitchFamily="18" charset="0"/>
            <a:cs typeface="Times New Roman"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47625</xdr:colOff>
      <xdr:row>14</xdr:row>
      <xdr:rowOff>171450</xdr:rowOff>
    </xdr:from>
    <xdr:to>
      <xdr:col>9</xdr:col>
      <xdr:colOff>495300</xdr:colOff>
      <xdr:row>29</xdr:row>
      <xdr:rowOff>238125</xdr:rowOff>
    </xdr:to>
    <xdr:graphicFrame macro="">
      <xdr:nvGraphicFramePr>
        <xdr:cNvPr id="2"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217169</xdr:colOff>
      <xdr:row>7</xdr:row>
      <xdr:rowOff>190500</xdr:rowOff>
    </xdr:from>
    <xdr:to>
      <xdr:col>11</xdr:col>
      <xdr:colOff>161924</xdr:colOff>
      <xdr:row>15</xdr:row>
      <xdr:rowOff>133350</xdr:rowOff>
    </xdr:to>
    <xdr:graphicFrame macro="">
      <xdr:nvGraphicFramePr>
        <xdr:cNvPr id="3"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790575</xdr:colOff>
      <xdr:row>27</xdr:row>
      <xdr:rowOff>228600</xdr:rowOff>
    </xdr:from>
    <xdr:to>
      <xdr:col>4</xdr:col>
      <xdr:colOff>519250</xdr:colOff>
      <xdr:row>30</xdr:row>
      <xdr:rowOff>26670</xdr:rowOff>
    </xdr:to>
    <xdr:pic>
      <xdr:nvPicPr>
        <xdr:cNvPr id="4" name="Picture 33" descr="MINCMYK"/>
        <xdr:cNvPicPr>
          <a:picLocks noChangeAspect="1" noChangeArrowheads="1"/>
        </xdr:cNvPicPr>
      </xdr:nvPicPr>
      <xdr:blipFill>
        <a:blip xmlns:r="http://schemas.openxmlformats.org/officeDocument/2006/relationships" r:embed="rId3" cstate="print"/>
        <a:srcRect/>
        <a:stretch>
          <a:fillRect/>
        </a:stretch>
      </xdr:blipFill>
      <xdr:spPr bwMode="auto">
        <a:xfrm>
          <a:off x="4010025" y="5915025"/>
          <a:ext cx="663183" cy="617220"/>
        </a:xfrm>
        <a:prstGeom prst="rect">
          <a:avLst/>
        </a:prstGeom>
        <a:noFill/>
        <a:ln w="9525" algn="ctr">
          <a:solidFill>
            <a:srgbClr val="000000"/>
          </a:solidFill>
          <a:miter lim="800000"/>
          <a:headEnd/>
          <a:tailEnd/>
        </a:ln>
      </xdr:spPr>
    </xdr:pic>
    <xdr:clientData/>
  </xdr:twoCellAnchor>
  <xdr:twoCellAnchor>
    <xdr:from>
      <xdr:col>1</xdr:col>
      <xdr:colOff>161923</xdr:colOff>
      <xdr:row>27</xdr:row>
      <xdr:rowOff>161926</xdr:rowOff>
    </xdr:from>
    <xdr:to>
      <xdr:col>3</xdr:col>
      <xdr:colOff>666747</xdr:colOff>
      <xdr:row>30</xdr:row>
      <xdr:rowOff>76200</xdr:rowOff>
    </xdr:to>
    <xdr:sp macro="" textlink="">
      <xdr:nvSpPr>
        <xdr:cNvPr id="6" name="AutoShape 42"/>
        <xdr:cNvSpPr>
          <a:spLocks noChangeArrowheads="1"/>
        </xdr:cNvSpPr>
      </xdr:nvSpPr>
      <xdr:spPr bwMode="auto">
        <a:xfrm flipH="1">
          <a:off x="266698" y="5848351"/>
          <a:ext cx="3619499" cy="733424"/>
        </a:xfrm>
        <a:prstGeom prst="roundRect">
          <a:avLst>
            <a:gd name="adj" fmla="val 16667"/>
          </a:avLst>
        </a:prstGeom>
        <a:solidFill>
          <a:srgbClr val="FFFF00"/>
        </a:solidFill>
        <a:ln w="9525">
          <a:solidFill>
            <a:srgbClr val="000000"/>
          </a:solidFill>
          <a:round/>
          <a:headEnd/>
          <a:tailEnd/>
        </a:ln>
      </xdr:spPr>
      <xdr:txBody>
        <a:bodyPr vertOverflow="clip" wrap="square" lIns="27432" tIns="22860" rIns="0" bIns="0" anchor="ctr" upright="1"/>
        <a:lstStyle/>
        <a:p>
          <a:pPr algn="ctr" rtl="0"/>
          <a:r>
            <a:rPr lang="en-AU" sz="1100" b="0" i="0" baseline="0">
              <a:latin typeface="Times New Roman" pitchFamily="18" charset="0"/>
              <a:ea typeface="+mn-ea"/>
              <a:cs typeface="Times New Roman" pitchFamily="18" charset="0"/>
            </a:rPr>
            <a:t>Şeyda Özkan and Richard Eckard (2012).</a:t>
          </a:r>
          <a:endParaRPr lang="en-AU" sz="1100">
            <a:latin typeface="Times New Roman" pitchFamily="18" charset="0"/>
            <a:cs typeface="Times New Roman" pitchFamily="18" charset="0"/>
          </a:endParaRPr>
        </a:p>
        <a:p>
          <a:pPr algn="ctr" rtl="0"/>
          <a:r>
            <a:rPr lang="en-AU" sz="1100" b="0" i="0" baseline="0">
              <a:latin typeface="Times New Roman" pitchFamily="18" charset="0"/>
              <a:ea typeface="+mn-ea"/>
              <a:cs typeface="Times New Roman" pitchFamily="18" charset="0"/>
            </a:rPr>
            <a:t>Feedlot Greenhouse Accounting Framework (F-GAF).</a:t>
          </a:r>
          <a:endParaRPr lang="en-AU" sz="1100">
            <a:latin typeface="Times New Roman" pitchFamily="18" charset="0"/>
            <a:cs typeface="Times New Roman" pitchFamily="18" charset="0"/>
          </a:endParaRPr>
        </a:p>
        <a:p>
          <a:pPr algn="ctr" rtl="0" fontAlgn="base"/>
          <a:r>
            <a:rPr lang="en-AU" sz="1100" b="0" i="0" baseline="0">
              <a:latin typeface="Times New Roman" pitchFamily="18" charset="0"/>
              <a:ea typeface="+mn-ea"/>
              <a:cs typeface="Times New Roman" pitchFamily="18" charset="0"/>
            </a:rPr>
            <a:t>http://www.greenhouse.unimelb.edu.au/Tools.htm</a:t>
          </a:r>
        </a:p>
        <a:p>
          <a:pPr algn="ctr" rtl="0">
            <a:defRPr sz="1000"/>
          </a:pPr>
          <a:endParaRPr lang="en-AU" sz="1200" b="0" i="0" u="none" strike="noStrike" baseline="0">
            <a:solidFill>
              <a:srgbClr val="000000"/>
            </a:solidFill>
            <a:latin typeface="Times New Roman" pitchFamily="18" charset="0"/>
            <a:cs typeface="Times New Roman" pitchFamily="18" charset="0"/>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0.13697</cdr:x>
      <cdr:y>0.03201</cdr:y>
    </cdr:from>
    <cdr:to>
      <cdr:x>0.95879</cdr:x>
      <cdr:y>0.28053</cdr:y>
    </cdr:to>
    <cdr:sp macro="" textlink="">
      <cdr:nvSpPr>
        <cdr:cNvPr id="14337" name="Text Box 1"/>
        <cdr:cNvSpPr txBox="1">
          <a:spLocks xmlns:a="http://schemas.openxmlformats.org/drawingml/2006/main" noChangeArrowheads="1"/>
        </cdr:cNvSpPr>
      </cdr:nvSpPr>
      <cdr:spPr bwMode="auto">
        <a:xfrm xmlns:a="http://schemas.openxmlformats.org/drawingml/2006/main">
          <a:off x="190998" y="44696"/>
          <a:ext cx="1145995" cy="34702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en-AU" sz="800" b="1" i="0" strike="noStrike">
              <a:solidFill>
                <a:srgbClr val="000000"/>
              </a:solidFill>
              <a:latin typeface="Times New Roman"/>
              <a:cs typeface="Times New Roman"/>
            </a:rPr>
            <a:t>Greenhouse Gas Profile</a:t>
          </a:r>
        </a:p>
        <a:p xmlns:a="http://schemas.openxmlformats.org/drawingml/2006/main">
          <a:pPr algn="ctr" rtl="0">
            <a:defRPr sz="1000"/>
          </a:pPr>
          <a:r>
            <a:rPr lang="en-AU" sz="800" b="1" i="0" strike="noStrike">
              <a:solidFill>
                <a:srgbClr val="000000"/>
              </a:solidFill>
              <a:latin typeface="Times New Roman"/>
              <a:cs typeface="Times New Roman"/>
            </a:rPr>
            <a:t>Summary</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1009650</xdr:colOff>
          <xdr:row>24</xdr:row>
          <xdr:rowOff>0</xdr:rowOff>
        </xdr:from>
        <xdr:to>
          <xdr:col>10</xdr:col>
          <xdr:colOff>666750</xdr:colOff>
          <xdr:row>25</xdr:row>
          <xdr:rowOff>57150</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952500</xdr:colOff>
          <xdr:row>20</xdr:row>
          <xdr:rowOff>228600</xdr:rowOff>
        </xdr:from>
        <xdr:to>
          <xdr:col>12</xdr:col>
          <xdr:colOff>142875</xdr:colOff>
          <xdr:row>22</xdr:row>
          <xdr:rowOff>38100</xdr:rowOff>
        </xdr:to>
        <xdr:sp macro="" textlink="">
          <xdr:nvSpPr>
            <xdr:cNvPr id="1027" name="Drop Down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914400</xdr:colOff>
          <xdr:row>18</xdr:row>
          <xdr:rowOff>0</xdr:rowOff>
        </xdr:from>
        <xdr:to>
          <xdr:col>10</xdr:col>
          <xdr:colOff>876300</xdr:colOff>
          <xdr:row>19</xdr:row>
          <xdr:rowOff>57150</xdr:rowOff>
        </xdr:to>
        <xdr:sp macro="" textlink="">
          <xdr:nvSpPr>
            <xdr:cNvPr id="1028" name="Drop Down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857250</xdr:colOff>
          <xdr:row>14</xdr:row>
          <xdr:rowOff>219075</xdr:rowOff>
        </xdr:from>
        <xdr:to>
          <xdr:col>10</xdr:col>
          <xdr:colOff>752475</xdr:colOff>
          <xdr:row>16</xdr:row>
          <xdr:rowOff>0</xdr:rowOff>
        </xdr:to>
        <xdr:sp macro="" textlink="">
          <xdr:nvSpPr>
            <xdr:cNvPr id="1052" name="Drop Down 1"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9</xdr:col>
      <xdr:colOff>213360</xdr:colOff>
      <xdr:row>10</xdr:row>
      <xdr:rowOff>53340</xdr:rowOff>
    </xdr:from>
    <xdr:to>
      <xdr:col>20</xdr:col>
      <xdr:colOff>693420</xdr:colOff>
      <xdr:row>27</xdr:row>
      <xdr:rowOff>15240</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climatechange.gov.au/en/publications/greenhouse-acctg/~/media/publications/greenhouse-acctg/NationalInventoryReport-2010-Vol-1.pdf" TargetMode="External"/></Relationships>
</file>

<file path=xl/worksheets/_rels/sheet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1"/>
  <sheetViews>
    <sheetView showGridLines="0" zoomScale="90" zoomScaleNormal="90" workbookViewId="0">
      <selection activeCell="A9" sqref="A9"/>
    </sheetView>
  </sheetViews>
  <sheetFormatPr defaultColWidth="0" defaultRowHeight="17.45" customHeight="1" zeroHeight="1" x14ac:dyDescent="0.25"/>
  <cols>
    <col min="1" max="1" width="2.42578125" style="3" customWidth="1"/>
    <col min="2" max="2" width="143.28515625" style="3" customWidth="1"/>
    <col min="3" max="16384" width="0" style="3" hidden="1"/>
  </cols>
  <sheetData>
    <row r="1" spans="1:2" ht="31.15" customHeight="1" thickBot="1" x14ac:dyDescent="0.35">
      <c r="A1" s="1"/>
      <c r="B1" s="2" t="s">
        <v>301</v>
      </c>
    </row>
    <row r="2" spans="1:2" ht="96" thickBot="1" x14ac:dyDescent="0.35">
      <c r="A2" s="1"/>
      <c r="B2" s="4" t="s">
        <v>0</v>
      </c>
    </row>
    <row r="3" spans="1:2" ht="31.15" customHeight="1" thickBot="1" x14ac:dyDescent="0.35">
      <c r="A3" s="1"/>
      <c r="B3" s="5" t="s">
        <v>1</v>
      </c>
    </row>
    <row r="4" spans="1:2" ht="37.5" x14ac:dyDescent="0.3">
      <c r="A4" s="1"/>
      <c r="B4" s="6" t="s">
        <v>19</v>
      </c>
    </row>
    <row r="5" spans="1:2" ht="75" x14ac:dyDescent="0.3">
      <c r="A5" s="1"/>
      <c r="B5" s="7" t="s">
        <v>20</v>
      </c>
    </row>
    <row r="6" spans="1:2" ht="37.5" x14ac:dyDescent="0.3">
      <c r="A6" s="1"/>
      <c r="B6" s="7" t="s">
        <v>2</v>
      </c>
    </row>
    <row r="7" spans="1:2" ht="18.75" x14ac:dyDescent="0.3">
      <c r="A7" s="1"/>
      <c r="B7" s="8" t="s">
        <v>3</v>
      </c>
    </row>
    <row r="8" spans="1:2" ht="18.75" x14ac:dyDescent="0.3">
      <c r="A8" s="1"/>
      <c r="B8" s="7" t="s">
        <v>21</v>
      </c>
    </row>
    <row r="9" spans="1:2" ht="18.75" x14ac:dyDescent="0.3">
      <c r="A9" s="1"/>
      <c r="B9" s="7"/>
    </row>
    <row r="10" spans="1:2" ht="20.25" x14ac:dyDescent="0.35">
      <c r="A10" s="1"/>
      <c r="B10" s="9" t="s">
        <v>4</v>
      </c>
    </row>
    <row r="11" spans="1:2" ht="20.25" x14ac:dyDescent="0.35">
      <c r="A11" s="1"/>
      <c r="B11" s="9" t="s">
        <v>5</v>
      </c>
    </row>
    <row r="12" spans="1:2" ht="20.25" x14ac:dyDescent="0.35">
      <c r="A12" s="1"/>
      <c r="B12" s="9" t="s">
        <v>6</v>
      </c>
    </row>
    <row r="13" spans="1:2" ht="18.75" x14ac:dyDescent="0.3">
      <c r="A13" s="1"/>
      <c r="B13" s="9"/>
    </row>
    <row r="14" spans="1:2" ht="18.75" x14ac:dyDescent="0.3">
      <c r="A14" s="1"/>
      <c r="B14" s="7"/>
    </row>
    <row r="15" spans="1:2" ht="33" customHeight="1" thickBot="1" x14ac:dyDescent="0.4">
      <c r="A15" s="1"/>
      <c r="B15" s="10" t="s">
        <v>7</v>
      </c>
    </row>
    <row r="16" spans="1:2" ht="21.6" customHeight="1" x14ac:dyDescent="0.3">
      <c r="A16" s="1"/>
      <c r="B16" s="11"/>
    </row>
    <row r="17" spans="1:2" ht="75" x14ac:dyDescent="0.3">
      <c r="A17" s="1"/>
      <c r="B17" s="12" t="s">
        <v>22</v>
      </c>
    </row>
    <row r="18" spans="1:2" ht="168.75" x14ac:dyDescent="0.3">
      <c r="A18" s="1"/>
      <c r="B18" s="12" t="s">
        <v>8</v>
      </c>
    </row>
    <row r="19" spans="1:2" ht="78" customHeight="1" x14ac:dyDescent="0.3">
      <c r="A19" s="1"/>
      <c r="B19" s="12" t="s">
        <v>9</v>
      </c>
    </row>
    <row r="20" spans="1:2" ht="80.45" customHeight="1" x14ac:dyDescent="0.3">
      <c r="A20" s="1"/>
      <c r="B20" s="12" t="s">
        <v>10</v>
      </c>
    </row>
    <row r="21" spans="1:2" ht="84.6" customHeight="1" x14ac:dyDescent="0.3">
      <c r="A21" s="1"/>
      <c r="B21" s="12" t="s">
        <v>11</v>
      </c>
    </row>
    <row r="22" spans="1:2" s="15" customFormat="1" ht="22.15" customHeight="1" x14ac:dyDescent="0.3">
      <c r="A22" s="13"/>
      <c r="B22" s="14"/>
    </row>
    <row r="23" spans="1:2" ht="39" customHeight="1" thickBot="1" x14ac:dyDescent="0.4">
      <c r="A23" s="1"/>
      <c r="B23" s="11" t="s">
        <v>12</v>
      </c>
    </row>
    <row r="24" spans="1:2" ht="20.25" x14ac:dyDescent="0.3">
      <c r="A24" s="1"/>
      <c r="B24" s="16" t="s">
        <v>23</v>
      </c>
    </row>
    <row r="25" spans="1:2" ht="25.15" customHeight="1" x14ac:dyDescent="0.3">
      <c r="A25" s="1"/>
      <c r="B25" s="17" t="s">
        <v>13</v>
      </c>
    </row>
    <row r="26" spans="1:2" ht="21.6" customHeight="1" x14ac:dyDescent="0.3">
      <c r="A26" s="1"/>
      <c r="B26" s="17" t="s">
        <v>14</v>
      </c>
    </row>
    <row r="27" spans="1:2" ht="18.75" x14ac:dyDescent="0.3">
      <c r="A27" s="1"/>
      <c r="B27" s="17"/>
    </row>
    <row r="28" spans="1:2" ht="129" customHeight="1" x14ac:dyDescent="0.3">
      <c r="A28" s="1"/>
      <c r="B28" s="17" t="s">
        <v>24</v>
      </c>
    </row>
    <row r="29" spans="1:2" ht="118.15" customHeight="1" x14ac:dyDescent="0.3">
      <c r="A29" s="1"/>
      <c r="B29" s="17" t="s">
        <v>15</v>
      </c>
    </row>
    <row r="30" spans="1:2" ht="10.15" customHeight="1" x14ac:dyDescent="0.3">
      <c r="A30" s="1"/>
      <c r="B30" s="17"/>
    </row>
    <row r="31" spans="1:2" ht="25.15" customHeight="1" x14ac:dyDescent="0.3">
      <c r="A31" s="1"/>
      <c r="B31" s="18"/>
    </row>
    <row r="32" spans="1:2" ht="39" customHeight="1" thickBot="1" x14ac:dyDescent="0.4">
      <c r="A32" s="1"/>
      <c r="B32" s="10" t="s">
        <v>16</v>
      </c>
    </row>
    <row r="33" spans="1:2" ht="20.25" x14ac:dyDescent="0.3">
      <c r="A33" s="1"/>
      <c r="B33" s="16" t="s">
        <v>25</v>
      </c>
    </row>
    <row r="34" spans="1:2" ht="18.75" x14ac:dyDescent="0.3">
      <c r="A34" s="1"/>
      <c r="B34" s="19"/>
    </row>
    <row r="35" spans="1:2" s="15" customFormat="1" ht="18.75" x14ac:dyDescent="0.3">
      <c r="A35" s="13"/>
      <c r="B35" s="20"/>
    </row>
    <row r="36" spans="1:2" ht="36.6" customHeight="1" thickBot="1" x14ac:dyDescent="0.35">
      <c r="A36" s="1"/>
      <c r="B36" s="10" t="s">
        <v>17</v>
      </c>
    </row>
    <row r="37" spans="1:2" ht="78" customHeight="1" x14ac:dyDescent="0.3">
      <c r="A37" s="1"/>
      <c r="B37" s="19" t="s">
        <v>18</v>
      </c>
    </row>
    <row r="38" spans="1:2" ht="18.75" x14ac:dyDescent="0.3">
      <c r="A38" s="1"/>
      <c r="B38" s="21"/>
    </row>
    <row r="39" spans="1:2" ht="18.75" hidden="1" x14ac:dyDescent="0.3">
      <c r="A39" s="1"/>
      <c r="B39" s="21"/>
    </row>
    <row r="40" spans="1:2" ht="18.75" hidden="1" x14ac:dyDescent="0.3">
      <c r="A40" s="1"/>
      <c r="B40" s="21"/>
    </row>
    <row r="41" spans="1:2" ht="18.75" hidden="1" x14ac:dyDescent="0.3">
      <c r="A41" s="1"/>
      <c r="B41" s="21"/>
    </row>
    <row r="42" spans="1:2" ht="18.75" hidden="1" x14ac:dyDescent="0.3">
      <c r="A42" s="1"/>
      <c r="B42" s="21"/>
    </row>
    <row r="43" spans="1:2" ht="18.75" hidden="1" x14ac:dyDescent="0.3">
      <c r="A43" s="1"/>
      <c r="B43" s="21"/>
    </row>
    <row r="44" spans="1:2" ht="18.75" hidden="1" x14ac:dyDescent="0.3">
      <c r="A44" s="1"/>
      <c r="B44" s="21"/>
    </row>
    <row r="45" spans="1:2" ht="18.75" hidden="1" x14ac:dyDescent="0.3">
      <c r="A45" s="1"/>
      <c r="B45" s="21"/>
    </row>
    <row r="46" spans="1:2" ht="18.75" hidden="1" x14ac:dyDescent="0.3">
      <c r="A46" s="1"/>
      <c r="B46" s="21"/>
    </row>
    <row r="47" spans="1:2" ht="18.75" hidden="1" x14ac:dyDescent="0.3">
      <c r="A47" s="1"/>
      <c r="B47" s="21"/>
    </row>
    <row r="48" spans="1:2" ht="18.75" hidden="1" x14ac:dyDescent="0.3">
      <c r="A48" s="1"/>
      <c r="B48" s="21"/>
    </row>
    <row r="49" spans="1:2" ht="18.75" hidden="1" x14ac:dyDescent="0.3">
      <c r="A49" s="1"/>
      <c r="B49" s="21"/>
    </row>
    <row r="50" spans="1:2" ht="18.75" hidden="1" x14ac:dyDescent="0.3">
      <c r="A50" s="1"/>
      <c r="B50" s="21"/>
    </row>
    <row r="51" spans="1:2" ht="18.75" hidden="1" x14ac:dyDescent="0.3">
      <c r="A51" s="1"/>
      <c r="B51" s="21"/>
    </row>
    <row r="52" spans="1:2" ht="18.75" hidden="1" x14ac:dyDescent="0.3">
      <c r="A52" s="1"/>
      <c r="B52" s="21"/>
    </row>
    <row r="53" spans="1:2" ht="18.75" hidden="1" x14ac:dyDescent="0.3">
      <c r="A53" s="1"/>
      <c r="B53" s="21"/>
    </row>
    <row r="54" spans="1:2" ht="18.75" hidden="1" x14ac:dyDescent="0.3">
      <c r="A54" s="1"/>
      <c r="B54" s="21"/>
    </row>
    <row r="55" spans="1:2" ht="18.75" hidden="1" x14ac:dyDescent="0.3">
      <c r="A55" s="1"/>
      <c r="B55" s="21"/>
    </row>
    <row r="56" spans="1:2" ht="18.75" hidden="1" x14ac:dyDescent="0.3">
      <c r="A56" s="1"/>
      <c r="B56" s="21"/>
    </row>
    <row r="57" spans="1:2" ht="18.75" hidden="1" x14ac:dyDescent="0.3">
      <c r="A57" s="1"/>
      <c r="B57" s="21"/>
    </row>
    <row r="58" spans="1:2" ht="18.75" hidden="1" x14ac:dyDescent="0.3">
      <c r="A58" s="1"/>
      <c r="B58" s="21"/>
    </row>
    <row r="59" spans="1:2" ht="18.75" hidden="1" x14ac:dyDescent="0.3">
      <c r="A59" s="1"/>
      <c r="B59" s="21"/>
    </row>
    <row r="60" spans="1:2" ht="18.75" hidden="1" x14ac:dyDescent="0.3">
      <c r="A60" s="1"/>
      <c r="B60" s="21"/>
    </row>
    <row r="61" spans="1:2" ht="18.75" hidden="1" x14ac:dyDescent="0.3">
      <c r="A61" s="1"/>
      <c r="B61" s="21"/>
    </row>
    <row r="62" spans="1:2" ht="18.75" hidden="1" x14ac:dyDescent="0.3">
      <c r="A62" s="1"/>
      <c r="B62" s="21"/>
    </row>
    <row r="63" spans="1:2" ht="18.75" hidden="1" x14ac:dyDescent="0.3">
      <c r="A63" s="1"/>
      <c r="B63" s="21"/>
    </row>
    <row r="64" spans="1:2" ht="18.75" hidden="1" x14ac:dyDescent="0.3">
      <c r="A64" s="1"/>
      <c r="B64" s="21"/>
    </row>
    <row r="65" spans="1:2" ht="18.75" hidden="1" x14ac:dyDescent="0.3">
      <c r="A65" s="1"/>
      <c r="B65" s="21"/>
    </row>
    <row r="66" spans="1:2" ht="18.75" hidden="1" x14ac:dyDescent="0.3">
      <c r="A66" s="1"/>
      <c r="B66" s="21"/>
    </row>
    <row r="67" spans="1:2" ht="18.75" hidden="1" x14ac:dyDescent="0.3">
      <c r="A67" s="1"/>
      <c r="B67" s="21"/>
    </row>
    <row r="68" spans="1:2" ht="18.75" hidden="1" x14ac:dyDescent="0.3">
      <c r="A68" s="1"/>
      <c r="B68" s="21"/>
    </row>
    <row r="69" spans="1:2" ht="18.75" hidden="1" x14ac:dyDescent="0.3">
      <c r="A69" s="1"/>
      <c r="B69" s="21"/>
    </row>
    <row r="70" spans="1:2" ht="18.75" hidden="1" x14ac:dyDescent="0.3">
      <c r="A70" s="1"/>
      <c r="B70" s="21"/>
    </row>
    <row r="71" spans="1:2" ht="18.75" hidden="1" x14ac:dyDescent="0.3">
      <c r="A71" s="1"/>
      <c r="B71" s="21"/>
    </row>
    <row r="72" spans="1:2" ht="18.75" hidden="1" x14ac:dyDescent="0.3">
      <c r="A72" s="1"/>
      <c r="B72" s="21"/>
    </row>
    <row r="73" spans="1:2" ht="18.75" hidden="1" x14ac:dyDescent="0.3">
      <c r="A73" s="1"/>
      <c r="B73" s="21"/>
    </row>
    <row r="74" spans="1:2" ht="18.75" hidden="1" x14ac:dyDescent="0.3">
      <c r="A74" s="1"/>
      <c r="B74" s="21"/>
    </row>
    <row r="75" spans="1:2" ht="18.75" hidden="1" x14ac:dyDescent="0.3">
      <c r="A75" s="1"/>
      <c r="B75" s="21"/>
    </row>
    <row r="76" spans="1:2" ht="18.75" hidden="1" x14ac:dyDescent="0.3">
      <c r="A76" s="1"/>
      <c r="B76" s="21"/>
    </row>
    <row r="77" spans="1:2" ht="18.75" hidden="1" x14ac:dyDescent="0.3">
      <c r="A77" s="1"/>
      <c r="B77" s="21"/>
    </row>
    <row r="78" spans="1:2" ht="18.75" hidden="1" x14ac:dyDescent="0.3">
      <c r="A78" s="1"/>
      <c r="B78" s="21"/>
    </row>
    <row r="79" spans="1:2" ht="18.75" hidden="1" x14ac:dyDescent="0.3">
      <c r="A79" s="1"/>
      <c r="B79" s="21"/>
    </row>
    <row r="80" spans="1:2" ht="18.75" hidden="1" x14ac:dyDescent="0.3">
      <c r="A80" s="1"/>
      <c r="B80" s="21"/>
    </row>
    <row r="81" spans="1:2" ht="18.75" hidden="1" x14ac:dyDescent="0.3">
      <c r="A81" s="1"/>
      <c r="B81" s="21"/>
    </row>
    <row r="82" spans="1:2" ht="18.75" hidden="1" x14ac:dyDescent="0.3">
      <c r="A82" s="1"/>
      <c r="B82" s="21"/>
    </row>
    <row r="83" spans="1:2" ht="18.75" hidden="1" x14ac:dyDescent="0.3">
      <c r="A83" s="1"/>
      <c r="B83" s="21"/>
    </row>
    <row r="84" spans="1:2" ht="18.75" hidden="1" x14ac:dyDescent="0.3">
      <c r="A84" s="1"/>
      <c r="B84" s="21"/>
    </row>
    <row r="85" spans="1:2" ht="18.75" hidden="1" x14ac:dyDescent="0.3">
      <c r="A85" s="1"/>
      <c r="B85" s="21"/>
    </row>
    <row r="86" spans="1:2" ht="18.75" hidden="1" x14ac:dyDescent="0.3">
      <c r="A86" s="1"/>
      <c r="B86" s="21"/>
    </row>
    <row r="87" spans="1:2" ht="18.75" hidden="1" x14ac:dyDescent="0.3">
      <c r="A87" s="1"/>
      <c r="B87" s="21"/>
    </row>
    <row r="88" spans="1:2" ht="18.75" hidden="1" x14ac:dyDescent="0.3">
      <c r="A88" s="1"/>
      <c r="B88" s="21"/>
    </row>
    <row r="89" spans="1:2" ht="18.75" hidden="1" x14ac:dyDescent="0.3">
      <c r="A89" s="1"/>
      <c r="B89" s="21"/>
    </row>
    <row r="90" spans="1:2" ht="18.75" hidden="1" x14ac:dyDescent="0.3">
      <c r="A90" s="1"/>
      <c r="B90" s="21"/>
    </row>
    <row r="91" spans="1:2" ht="18.75" hidden="1" x14ac:dyDescent="0.3">
      <c r="A91" s="1"/>
      <c r="B91" s="21"/>
    </row>
    <row r="92" spans="1:2" ht="18.75" hidden="1" x14ac:dyDescent="0.3">
      <c r="A92" s="1"/>
      <c r="B92" s="21"/>
    </row>
    <row r="93" spans="1:2" ht="18.75" hidden="1" x14ac:dyDescent="0.3">
      <c r="A93" s="1"/>
      <c r="B93" s="21"/>
    </row>
    <row r="94" spans="1:2" ht="18.75" hidden="1" x14ac:dyDescent="0.3">
      <c r="A94" s="1"/>
      <c r="B94" s="21"/>
    </row>
    <row r="95" spans="1:2" ht="18.75" hidden="1" x14ac:dyDescent="0.3">
      <c r="A95" s="1"/>
      <c r="B95" s="21"/>
    </row>
    <row r="96" spans="1:2" ht="18.75" hidden="1" x14ac:dyDescent="0.3">
      <c r="A96" s="1"/>
      <c r="B96" s="21"/>
    </row>
    <row r="97" spans="1:2" ht="18.75" hidden="1" x14ac:dyDescent="0.3">
      <c r="A97" s="1"/>
      <c r="B97" s="21"/>
    </row>
    <row r="98" spans="1:2" ht="18.75" hidden="1" x14ac:dyDescent="0.3">
      <c r="A98" s="1"/>
      <c r="B98" s="21"/>
    </row>
    <row r="99" spans="1:2" ht="18.75" hidden="1" x14ac:dyDescent="0.3">
      <c r="A99" s="1"/>
      <c r="B99" s="21"/>
    </row>
    <row r="100" spans="1:2" ht="18.75" hidden="1" x14ac:dyDescent="0.3">
      <c r="A100" s="1"/>
      <c r="B100" s="21"/>
    </row>
    <row r="101" spans="1:2" ht="18.75" hidden="1" x14ac:dyDescent="0.3">
      <c r="A101" s="1"/>
      <c r="B101" s="21"/>
    </row>
    <row r="102" spans="1:2" ht="19.5" hidden="1" thickBot="1" x14ac:dyDescent="0.35">
      <c r="A102" s="1"/>
      <c r="B102" s="22"/>
    </row>
    <row r="103" spans="1:2" ht="18.75" hidden="1" x14ac:dyDescent="0.3">
      <c r="A103" s="1"/>
      <c r="B103" s="23"/>
    </row>
    <row r="104" spans="1:2" ht="28.15" hidden="1" customHeight="1" x14ac:dyDescent="0.3">
      <c r="A104" s="1"/>
      <c r="B104" s="24"/>
    </row>
    <row r="105" spans="1:2" ht="21.6" hidden="1" customHeight="1" x14ac:dyDescent="0.3">
      <c r="A105" s="1"/>
      <c r="B105" s="24"/>
    </row>
    <row r="106" spans="1:2" ht="29.45" hidden="1" customHeight="1" x14ac:dyDescent="0.3">
      <c r="A106" s="1"/>
      <c r="B106" s="24"/>
    </row>
    <row r="107" spans="1:2" ht="17.45" hidden="1" customHeight="1" x14ac:dyDescent="0.3">
      <c r="A107" s="1"/>
      <c r="B107" s="24"/>
    </row>
    <row r="108" spans="1:2" ht="28.15" hidden="1" customHeight="1" x14ac:dyDescent="0.3">
      <c r="A108" s="1"/>
      <c r="B108" s="24"/>
    </row>
    <row r="109" spans="1:2" ht="12.6" hidden="1" customHeight="1" x14ac:dyDescent="0.3">
      <c r="A109" s="1"/>
      <c r="B109" s="24"/>
    </row>
    <row r="110" spans="1:2" ht="18" hidden="1" customHeight="1" x14ac:dyDescent="0.3">
      <c r="A110" s="1"/>
      <c r="B110" s="24"/>
    </row>
    <row r="111" spans="1:2" ht="18.75" hidden="1" x14ac:dyDescent="0.3">
      <c r="A111" s="1"/>
      <c r="B111" s="24"/>
    </row>
    <row r="112" spans="1:2" ht="14.45" hidden="1" customHeight="1" x14ac:dyDescent="0.3">
      <c r="A112" s="1"/>
      <c r="B112" s="24"/>
    </row>
    <row r="113" spans="1:2" ht="12.6" hidden="1" customHeight="1" x14ac:dyDescent="0.3">
      <c r="A113" s="1"/>
      <c r="B113" s="24"/>
    </row>
    <row r="114" spans="1:2" ht="18.75" hidden="1" x14ac:dyDescent="0.3">
      <c r="A114" s="1"/>
      <c r="B114" s="24"/>
    </row>
    <row r="115" spans="1:2" ht="18.75" hidden="1" x14ac:dyDescent="0.3">
      <c r="A115" s="1"/>
      <c r="B115" s="24"/>
    </row>
    <row r="116" spans="1:2" ht="19.5" hidden="1" thickBot="1" x14ac:dyDescent="0.35">
      <c r="A116" s="1"/>
      <c r="B116" s="25"/>
    </row>
    <row r="117" spans="1:2" ht="18" hidden="1" x14ac:dyDescent="0.25"/>
    <row r="118" spans="1:2" ht="18" hidden="1" x14ac:dyDescent="0.25"/>
    <row r="119" spans="1:2" ht="18" hidden="1" x14ac:dyDescent="0.25"/>
    <row r="120" spans="1:2" ht="18" hidden="1" x14ac:dyDescent="0.25"/>
    <row r="121" spans="1:2" ht="18" hidden="1" x14ac:dyDescent="0.25"/>
    <row r="122" spans="1:2" ht="18" hidden="1" x14ac:dyDescent="0.25"/>
    <row r="123" spans="1:2" ht="18" hidden="1" x14ac:dyDescent="0.25"/>
    <row r="124" spans="1:2" ht="18" hidden="1" x14ac:dyDescent="0.25"/>
    <row r="125" spans="1:2" ht="18" hidden="1" x14ac:dyDescent="0.25"/>
    <row r="126" spans="1:2" ht="18" hidden="1" x14ac:dyDescent="0.25"/>
    <row r="127" spans="1:2" ht="18" hidden="1" x14ac:dyDescent="0.25"/>
    <row r="128" spans="1:2" ht="18" hidden="1" x14ac:dyDescent="0.25"/>
    <row r="129" ht="18" hidden="1" x14ac:dyDescent="0.25"/>
    <row r="130" ht="18" hidden="1" x14ac:dyDescent="0.25"/>
    <row r="131" ht="18" hidden="1" x14ac:dyDescent="0.25"/>
    <row r="132" ht="18" hidden="1" x14ac:dyDescent="0.25"/>
    <row r="133" ht="18" hidden="1" x14ac:dyDescent="0.25"/>
    <row r="134" ht="18" hidden="1" x14ac:dyDescent="0.25"/>
    <row r="135" ht="18" hidden="1" x14ac:dyDescent="0.25"/>
    <row r="136" ht="18" hidden="1" x14ac:dyDescent="0.25"/>
    <row r="137" ht="18" hidden="1" x14ac:dyDescent="0.25"/>
    <row r="138" ht="18" hidden="1" x14ac:dyDescent="0.25"/>
    <row r="139" ht="18" hidden="1" x14ac:dyDescent="0.25"/>
    <row r="140" ht="18" hidden="1" x14ac:dyDescent="0.25"/>
    <row r="141" ht="18" hidden="1" x14ac:dyDescent="0.25"/>
    <row r="142" ht="18" hidden="1" x14ac:dyDescent="0.25"/>
    <row r="143" ht="18" hidden="1" x14ac:dyDescent="0.25"/>
    <row r="144" ht="18" hidden="1" x14ac:dyDescent="0.25"/>
    <row r="145" ht="18" hidden="1" x14ac:dyDescent="0.25"/>
    <row r="146" ht="18" hidden="1" x14ac:dyDescent="0.25"/>
    <row r="147" ht="18" hidden="1" x14ac:dyDescent="0.25"/>
    <row r="148" ht="18" hidden="1" x14ac:dyDescent="0.25"/>
    <row r="149" ht="18" hidden="1" x14ac:dyDescent="0.25"/>
    <row r="150" ht="17.45" hidden="1" customHeight="1" x14ac:dyDescent="0.25"/>
    <row r="151" ht="17.45" hidden="1" customHeight="1" x14ac:dyDescent="0.25"/>
  </sheetData>
  <sheetProtection sheet="1" objects="1" scenarios="1"/>
  <hyperlinks>
    <hyperlink ref="B10" location="Intro!B20" tooltip="Click this link to read more about Methane" display="     - Methane (CH4)"/>
    <hyperlink ref="B11" location="Intro!B40" tooltip="Click this link to read more about Nitrous Oxide" display="     - Nitrous oxide (N2O)"/>
    <hyperlink ref="B12" location="Intro!B49" tooltip="Click this link to read more about Carbon Dioxide" display="     - Carbon dioxide (CO2)"/>
    <hyperlink ref="B7"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4"/>
  <sheetViews>
    <sheetView showGridLines="0" tabSelected="1" defaultGridColor="0" colorId="8" zoomScale="90" zoomScaleNormal="90" workbookViewId="0">
      <selection activeCell="E14" sqref="E14"/>
    </sheetView>
  </sheetViews>
  <sheetFormatPr defaultColWidth="0" defaultRowHeight="13.9" customHeight="1" zeroHeight="1" x14ac:dyDescent="0.25"/>
  <cols>
    <col min="1" max="1" width="1.5703125" style="26" customWidth="1"/>
    <col min="2" max="2" width="33.5703125" style="26" customWidth="1"/>
    <col min="3" max="3" width="11.7109375" style="26" customWidth="1"/>
    <col min="4" max="4" width="13.7109375" style="26" customWidth="1"/>
    <col min="5" max="6" width="12" style="26" customWidth="1"/>
    <col min="7" max="7" width="2.140625" style="26" customWidth="1"/>
    <col min="8" max="8" width="24.140625" style="26" customWidth="1"/>
    <col min="9" max="9" width="13.28515625" style="26" customWidth="1"/>
    <col min="10" max="10" width="9.85546875" style="26" bestFit="1" customWidth="1"/>
    <col min="11" max="11" width="12.28515625" style="26" customWidth="1"/>
    <col min="12" max="12" width="6.7109375" style="26" customWidth="1"/>
    <col min="13" max="16384" width="0" style="26" hidden="1"/>
  </cols>
  <sheetData>
    <row r="1" spans="2:11" ht="12" customHeight="1" x14ac:dyDescent="0.25"/>
    <row r="2" spans="2:11" ht="18.75" x14ac:dyDescent="0.3">
      <c r="B2" s="27" t="s">
        <v>303</v>
      </c>
      <c r="C2" s="28"/>
      <c r="D2" s="28"/>
      <c r="E2" s="28"/>
      <c r="F2" s="29"/>
    </row>
    <row r="3" spans="2:11" ht="15" x14ac:dyDescent="0.25">
      <c r="B3" s="30" t="s">
        <v>26</v>
      </c>
      <c r="C3" s="31"/>
      <c r="D3" s="31"/>
      <c r="E3" s="31"/>
      <c r="F3" s="31"/>
    </row>
    <row r="4" spans="2:11" ht="16.899999999999999" customHeight="1" x14ac:dyDescent="0.3">
      <c r="B4" s="32" t="s">
        <v>27</v>
      </c>
      <c r="C4" s="323" t="str">
        <f>'Data input'!G1</f>
        <v>Joe Bloggs</v>
      </c>
      <c r="D4" s="323"/>
      <c r="E4" s="33"/>
      <c r="F4" s="122"/>
      <c r="H4" s="34" t="s">
        <v>28</v>
      </c>
      <c r="I4" s="117" t="s">
        <v>180</v>
      </c>
      <c r="J4" s="35" t="s">
        <v>29</v>
      </c>
      <c r="K4" s="117" t="s">
        <v>180</v>
      </c>
    </row>
    <row r="5" spans="2:11" ht="22.9" customHeight="1" x14ac:dyDescent="0.3">
      <c r="B5" s="32" t="s">
        <v>181</v>
      </c>
      <c r="C5" s="123">
        <f>'Data input'!J16</f>
        <v>1</v>
      </c>
      <c r="D5" s="33" t="str">
        <f>VLOOKUP(C5,'Data input'!P2:Q8,2,FALSE)</f>
        <v>NSW/ACT</v>
      </c>
      <c r="E5" s="33"/>
      <c r="F5" s="122"/>
      <c r="H5" s="36" t="s">
        <v>32</v>
      </c>
      <c r="I5" s="37">
        <f>'Electricity &amp; Diesel'!C34</f>
        <v>94.677517559999984</v>
      </c>
      <c r="J5" s="38" t="s">
        <v>33</v>
      </c>
      <c r="K5" s="39">
        <f>SUM(I5)</f>
        <v>94.677517559999984</v>
      </c>
    </row>
    <row r="6" spans="2:11" ht="16.149999999999999" customHeight="1" x14ac:dyDescent="0.3">
      <c r="B6" s="118" t="s">
        <v>30</v>
      </c>
      <c r="C6" s="314" t="str">
        <f>'Data input'!C9</f>
        <v>Domestic</v>
      </c>
      <c r="D6" s="314" t="str">
        <f>'Data input'!D9</f>
        <v>Export</v>
      </c>
      <c r="E6" s="314" t="str">
        <f>'Data input'!E9</f>
        <v>Japan ox</v>
      </c>
      <c r="F6" s="315" t="str">
        <f>'Data input'!G9</f>
        <v>Units</v>
      </c>
      <c r="H6" s="36" t="s">
        <v>34</v>
      </c>
      <c r="I6" s="37">
        <f>'Enteric fermentation'!J33</f>
        <v>27153.973037852233</v>
      </c>
      <c r="J6" s="38" t="s">
        <v>35</v>
      </c>
      <c r="K6" s="39">
        <f>SUM(I6:I7)</f>
        <v>28034.953605441613</v>
      </c>
    </row>
    <row r="7" spans="2:11" ht="16.5" x14ac:dyDescent="0.3">
      <c r="B7" s="36" t="s">
        <v>296</v>
      </c>
      <c r="C7" s="309">
        <f>SUM('Data input'!C10,'Data input'!C29,'Data input'!C48,'Data input'!C67)</f>
        <v>20000</v>
      </c>
      <c r="D7" s="309">
        <f>SUM('Data input'!D10,'Data input'!D29,'Data input'!D48,'Data input'!D67)</f>
        <v>15000</v>
      </c>
      <c r="E7" s="309">
        <f>SUM('Data input'!E10,'Data input'!E29,'Data input'!E48,'Data input'!E67)</f>
        <v>10000</v>
      </c>
      <c r="F7" s="316" t="str">
        <f>'Data input'!G10</f>
        <v>head</v>
      </c>
      <c r="H7" s="36" t="s">
        <v>36</v>
      </c>
      <c r="I7" s="37">
        <f>'Manure management'!C66</f>
        <v>880.98056758938208</v>
      </c>
      <c r="J7" s="121" t="s">
        <v>37</v>
      </c>
      <c r="K7" s="120">
        <f>SUM(I8:I9)</f>
        <v>16329.065259689231</v>
      </c>
    </row>
    <row r="8" spans="2:11" ht="16.5" x14ac:dyDescent="0.3">
      <c r="B8" s="36" t="s">
        <v>295</v>
      </c>
      <c r="C8" s="309">
        <f>SUM('Data input'!C11,'Data input'!C30,'Data input'!C49,'Data input'!C68)</f>
        <v>75</v>
      </c>
      <c r="D8" s="309">
        <f>SUM('Data input'!D11,'Data input'!D30,'Data input'!D49,'Data input'!D68)</f>
        <v>140</v>
      </c>
      <c r="E8" s="309">
        <f>SUM('Data input'!E11,'Data input'!E30,'Data input'!E49,'Data input'!E68)</f>
        <v>250</v>
      </c>
      <c r="F8" s="316" t="str">
        <f>'Data input'!G11</f>
        <v xml:space="preserve">days </v>
      </c>
      <c r="H8" s="36" t="s">
        <v>276</v>
      </c>
      <c r="I8" s="308">
        <f>'Nitrous oxide MMS'!J65</f>
        <v>14199.187182338461</v>
      </c>
    </row>
    <row r="9" spans="2:11" ht="16.5" x14ac:dyDescent="0.3">
      <c r="B9" s="36" t="s">
        <v>294</v>
      </c>
      <c r="C9" s="310">
        <f>AVERAGE('Data input'!C12,'Data input'!C31,'Data input'!C50,'Data input'!C69)</f>
        <v>90</v>
      </c>
      <c r="D9" s="310">
        <f>AVERAGE('Data input'!D12,'Data input'!D31,'Data input'!D50,'Data input'!D69)</f>
        <v>122.5</v>
      </c>
      <c r="E9" s="310">
        <f>AVERAGE('Data input'!E12,'Data input'!E31,'Data input'!E50,'Data input'!E69)</f>
        <v>141.25</v>
      </c>
      <c r="F9" s="317" t="str">
        <f>'Data input'!G12</f>
        <v>kg/head</v>
      </c>
      <c r="H9" s="36" t="s">
        <v>300</v>
      </c>
      <c r="I9" s="37">
        <f>'Agricultural soils'!D30</f>
        <v>2129.8780773507697</v>
      </c>
    </row>
    <row r="10" spans="2:11" ht="15" x14ac:dyDescent="0.25">
      <c r="B10" s="36" t="s">
        <v>293</v>
      </c>
      <c r="C10" s="311">
        <f>AVERAGE('Data input'!C13,'Data input'!C32,'Data input'!C51,'Data input'!C70)</f>
        <v>0.42499999999999999</v>
      </c>
      <c r="D10" s="311">
        <f>AVERAGE('Data input'!D13,'Data input'!D32,'Data input'!D51,'Data input'!D70)</f>
        <v>0.375</v>
      </c>
      <c r="E10" s="311">
        <f>AVERAGE('Data input'!E13,'Data input'!E32,'Data input'!E51,'Data input'!E70)</f>
        <v>0.3</v>
      </c>
      <c r="F10" s="318" t="str">
        <f>'Data input'!G13</f>
        <v>kg/day</v>
      </c>
      <c r="G10" s="180"/>
      <c r="H10" s="118" t="s">
        <v>38</v>
      </c>
      <c r="I10" s="299">
        <f>-1*Trees!F29*C27</f>
        <v>-17.482499999999998</v>
      </c>
    </row>
    <row r="11" spans="2:11" ht="16.899999999999999" customHeight="1" x14ac:dyDescent="0.25">
      <c r="B11" s="36" t="s">
        <v>297</v>
      </c>
      <c r="C11" s="312">
        <f>AVERAGE('Data input'!C14,'Data input'!C33,'Data input'!C52,'Data input'!C71)</f>
        <v>20</v>
      </c>
      <c r="D11" s="312">
        <f>AVERAGE('Data input'!D14,'Data input'!D33,'Data input'!D52,'Data input'!D71)</f>
        <v>20</v>
      </c>
      <c r="E11" s="312">
        <f>AVERAGE('Data input'!E14,'Data input'!E33,'Data input'!E52,'Data input'!E71)</f>
        <v>20</v>
      </c>
      <c r="F11" s="319" t="str">
        <f>'Data input'!G14</f>
        <v>%</v>
      </c>
      <c r="H11" s="182" t="s">
        <v>40</v>
      </c>
      <c r="I11" s="183">
        <f>SUM(I5:I10)</f>
        <v>44441.213882690841</v>
      </c>
    </row>
    <row r="12" spans="2:11" ht="15.6" customHeight="1" x14ac:dyDescent="0.25">
      <c r="B12" s="42" t="s">
        <v>298</v>
      </c>
      <c r="C12" s="313">
        <f>AVERAGE('Data input'!C15,'Data input'!C34,'Data input'!C53,'Data input'!C72)</f>
        <v>2.4500000000000002</v>
      </c>
      <c r="D12" s="313">
        <f>AVERAGE('Data input'!D15,'Data input'!D34,'Data input'!D53,'Data input'!D72)</f>
        <v>2.9249999999999998</v>
      </c>
      <c r="E12" s="313">
        <f>AVERAGE('Data input'!E15,'Data input'!E34,'Data input'!E53,'Data input'!E72)</f>
        <v>2.75</v>
      </c>
      <c r="F12" s="320" t="str">
        <f>'Data input'!G15</f>
        <v>kg/head/day</v>
      </c>
    </row>
    <row r="13" spans="2:11" ht="16.149999999999999" customHeight="1" x14ac:dyDescent="0.25">
      <c r="B13" s="36"/>
      <c r="C13" s="309"/>
      <c r="D13" s="309"/>
      <c r="E13" s="309"/>
      <c r="F13" s="316"/>
    </row>
    <row r="14" spans="2:11" ht="16.899999999999999" customHeight="1" x14ac:dyDescent="0.25">
      <c r="B14" s="301"/>
      <c r="C14" s="302" t="str">
        <f>'Data input'!C18</f>
        <v>Total grains (inc molasses)</v>
      </c>
      <c r="D14" s="302" t="str">
        <f>'Data input'!D18</f>
        <v>Other concentrates</v>
      </c>
      <c r="E14" s="302" t="str">
        <f>'Data input'!E18</f>
        <v>Grasses</v>
      </c>
      <c r="F14" s="321" t="str">
        <f>'Data input'!F18</f>
        <v>Legumes</v>
      </c>
    </row>
    <row r="15" spans="2:11" ht="16.899999999999999" customHeight="1" x14ac:dyDescent="0.25">
      <c r="B15" s="36" t="s">
        <v>78</v>
      </c>
      <c r="C15" s="309">
        <f>AVERAGE('Data input'!C19,'Data input'!C38,'Data input'!C57,'Data input'!C76)</f>
        <v>0.19475000000000001</v>
      </c>
      <c r="D15" s="309">
        <f>AVERAGE('Data input'!D19,'Data input'!D38,'Data input'!D57,'Data input'!D76)</f>
        <v>1.2E-2</v>
      </c>
      <c r="E15" s="309">
        <f>AVERAGE('Data input'!E19,'Data input'!E38,'Data input'!E57,'Data input'!E76)</f>
        <v>3.4500000000000003E-2</v>
      </c>
      <c r="F15" s="316">
        <f>AVERAGE('Data input'!F19,'Data input'!F38,'Data input'!F57,'Data input'!F76)</f>
        <v>8.7500000000000008E-3</v>
      </c>
    </row>
    <row r="16" spans="2:11" ht="16.149999999999999" customHeight="1" x14ac:dyDescent="0.25">
      <c r="B16" s="36" t="s">
        <v>83</v>
      </c>
      <c r="C16" s="309"/>
      <c r="D16" s="309"/>
      <c r="E16" s="309"/>
      <c r="F16" s="316"/>
    </row>
    <row r="17" spans="2:6" ht="15.6" customHeight="1" x14ac:dyDescent="0.25">
      <c r="B17" s="300" t="s">
        <v>84</v>
      </c>
      <c r="C17" s="309">
        <f>AVERAGE('Data input'!C21,'Data input'!C40,'Data input'!C59,'Data input'!C78)</f>
        <v>1.7500000000000002E-2</v>
      </c>
      <c r="D17" s="309">
        <f>AVERAGE('Data input'!D21,'Data input'!D40,'Data input'!D59,'Data input'!D78)</f>
        <v>4.7500000000000001E-2</v>
      </c>
      <c r="E17" s="309">
        <f>AVERAGE('Data input'!E21,'Data input'!E40,'Data input'!E59,'Data input'!E78)</f>
        <v>7.7499999999999999E-2</v>
      </c>
      <c r="F17" s="316">
        <f>AVERAGE('Data input'!F21,'Data input'!F40,'Data input'!F59,'Data input'!F78)</f>
        <v>0.09</v>
      </c>
    </row>
    <row r="18" spans="2:6" ht="16.899999999999999" customHeight="1" x14ac:dyDescent="0.25">
      <c r="B18" s="300" t="s">
        <v>85</v>
      </c>
      <c r="C18" s="309">
        <f>AVERAGE('Data input'!C22,'Data input'!C41,'Data input'!C60,'Data input'!C79)</f>
        <v>0.01</v>
      </c>
      <c r="D18" s="309">
        <f>AVERAGE('Data input'!D22,'Data input'!D41,'Data input'!D60,'Data input'!D79)</f>
        <v>2.75E-2</v>
      </c>
      <c r="E18" s="309">
        <f>AVERAGE('Data input'!E22,'Data input'!E41,'Data input'!E60,'Data input'!E79)</f>
        <v>7.7499999999999999E-2</v>
      </c>
      <c r="F18" s="316">
        <f>AVERAGE('Data input'!F22,'Data input'!F41,'Data input'!F60,'Data input'!F79)</f>
        <v>0.05</v>
      </c>
    </row>
    <row r="19" spans="2:6" ht="15" x14ac:dyDescent="0.25">
      <c r="B19" s="300" t="s">
        <v>86</v>
      </c>
      <c r="C19" s="309">
        <f>AVERAGE('Data input'!C23,'Data input'!C42,'Data input'!C61,'Data input'!C80)</f>
        <v>0.17</v>
      </c>
      <c r="D19" s="309">
        <f>AVERAGE('Data input'!D23,'Data input'!D42,'Data input'!D61,'Data input'!D80)</f>
        <v>4.7500000000000001E-2</v>
      </c>
      <c r="E19" s="309">
        <f>AVERAGE('Data input'!E23,'Data input'!E42,'Data input'!E61,'Data input'!E80)</f>
        <v>5.2499999999999998E-2</v>
      </c>
      <c r="F19" s="316">
        <f>AVERAGE('Data input'!F23,'Data input'!F42,'Data input'!F61,'Data input'!F80)</f>
        <v>5.2499999999999998E-2</v>
      </c>
    </row>
    <row r="20" spans="2:6" ht="15" x14ac:dyDescent="0.25">
      <c r="B20" s="303" t="s">
        <v>87</v>
      </c>
      <c r="C20" s="313">
        <f>AVERAGE('Data input'!C24,'Data input'!C43,'Data input'!C62,'Data input'!C81)</f>
        <v>5.0000000000000001E-3</v>
      </c>
      <c r="D20" s="313">
        <f>AVERAGE('Data input'!D24,'Data input'!D43,'Data input'!D62,'Data input'!D81)</f>
        <v>1.2500000000000001E-2</v>
      </c>
      <c r="E20" s="313">
        <f>AVERAGE('Data input'!E24,'Data input'!E43,'Data input'!E62,'Data input'!E81)</f>
        <v>6.4999999999999997E-3</v>
      </c>
      <c r="F20" s="320">
        <f>AVERAGE('Data input'!F24,'Data input'!F43,'Data input'!F62,'Data input'!F81)</f>
        <v>8.0000000000000002E-3</v>
      </c>
    </row>
    <row r="21" spans="2:6" ht="18.75" customHeight="1" x14ac:dyDescent="0.25">
      <c r="B21" s="36"/>
      <c r="C21" s="40"/>
      <c r="D21" s="40"/>
      <c r="E21" s="40"/>
      <c r="F21" s="41"/>
    </row>
    <row r="22" spans="2:6" ht="18.75" customHeight="1" x14ac:dyDescent="0.25">
      <c r="B22" s="118" t="s">
        <v>41</v>
      </c>
      <c r="C22" s="181">
        <f>'Data input'!C84</f>
        <v>30000</v>
      </c>
      <c r="D22" s="181"/>
      <c r="E22" s="181"/>
      <c r="F22" s="119" t="str">
        <f>'Data input'!G84</f>
        <v>litres/year</v>
      </c>
    </row>
    <row r="23" spans="2:6" ht="16.149999999999999" customHeight="1" x14ac:dyDescent="0.25">
      <c r="B23" s="42" t="s">
        <v>43</v>
      </c>
      <c r="C23" s="44">
        <f>'Data input'!C85</f>
        <v>12000</v>
      </c>
      <c r="D23" s="44"/>
      <c r="E23" s="44"/>
      <c r="F23" s="43" t="str">
        <f>'Data input'!G85</f>
        <v>KWh</v>
      </c>
    </row>
    <row r="24" spans="2:6" ht="18.600000000000001" customHeight="1" x14ac:dyDescent="0.25">
      <c r="B24" s="280" t="s">
        <v>45</v>
      </c>
      <c r="C24" s="45">
        <f>'Data input'!J19</f>
        <v>1</v>
      </c>
      <c r="D24" s="40" t="str">
        <f>VLOOKUP(C24,'Electricity &amp; Diesel'!A38:B45,2,FALSE)</f>
        <v xml:space="preserve">Black Coal </v>
      </c>
      <c r="E24" s="40"/>
      <c r="F24" s="41"/>
    </row>
    <row r="25" spans="2:6" ht="18.600000000000001" customHeight="1" x14ac:dyDescent="0.25">
      <c r="B25" s="36" t="s">
        <v>47</v>
      </c>
      <c r="C25" s="45">
        <f>'Data input'!J22</f>
        <v>3</v>
      </c>
      <c r="D25" s="40" t="str">
        <f>VLOOKUP(C25,Trees!A12:B25,2,FALSE)</f>
        <v>Hardwood</v>
      </c>
      <c r="E25" s="40"/>
      <c r="F25" s="41"/>
    </row>
    <row r="26" spans="2:6" ht="18.600000000000001" customHeight="1" x14ac:dyDescent="0.25">
      <c r="B26" s="36" t="s">
        <v>48</v>
      </c>
      <c r="C26" s="45">
        <f>'Data input'!J25</f>
        <v>3</v>
      </c>
      <c r="D26" s="40" t="str">
        <f>VLOOKUP(C26,Trees!A28:B30,2,FALSE)</f>
        <v>Low (&lt;500)</v>
      </c>
      <c r="E26" s="40"/>
      <c r="F26" s="41"/>
    </row>
    <row r="27" spans="2:6" ht="18.600000000000001" customHeight="1" x14ac:dyDescent="0.25">
      <c r="B27" s="42" t="s">
        <v>46</v>
      </c>
      <c r="C27" s="44">
        <f>'Data input'!C86</f>
        <v>1</v>
      </c>
      <c r="D27" s="44"/>
      <c r="E27" s="44"/>
      <c r="F27" s="43" t="str">
        <f>'Data input'!G86</f>
        <v>ha</v>
      </c>
    </row>
    <row r="28" spans="2:6" ht="18.75" customHeight="1" x14ac:dyDescent="0.25"/>
    <row r="29" spans="2:6" ht="25.15" customHeight="1" x14ac:dyDescent="0.25"/>
    <row r="30" spans="2:6" ht="20.45" customHeight="1" x14ac:dyDescent="0.25"/>
    <row r="31" spans="2:6" ht="16.7" customHeight="1" x14ac:dyDescent="0.25">
      <c r="D31" s="46"/>
    </row>
    <row r="32" spans="2:6" ht="16.7" hidden="1" customHeight="1" x14ac:dyDescent="0.25">
      <c r="C32" s="47"/>
      <c r="E32" s="48"/>
    </row>
    <row r="33" spans="4:4" ht="15" hidden="1" x14ac:dyDescent="0.25"/>
    <row r="34" spans="4:4" ht="15" hidden="1" x14ac:dyDescent="0.25"/>
    <row r="35" spans="4:4" ht="15" hidden="1" x14ac:dyDescent="0.25"/>
    <row r="36" spans="4:4" ht="15" hidden="1" x14ac:dyDescent="0.25">
      <c r="D36" s="46"/>
    </row>
    <row r="37" spans="4:4" ht="15" hidden="1" x14ac:dyDescent="0.25">
      <c r="D37" s="46"/>
    </row>
    <row r="38" spans="4:4" ht="15" hidden="1" x14ac:dyDescent="0.25">
      <c r="D38" s="46"/>
    </row>
    <row r="39" spans="4:4" ht="15" hidden="1" x14ac:dyDescent="0.25">
      <c r="D39" s="46"/>
    </row>
    <row r="40" spans="4:4" ht="15" hidden="1" x14ac:dyDescent="0.25">
      <c r="D40" s="46"/>
    </row>
    <row r="41" spans="4:4" ht="15" hidden="1" x14ac:dyDescent="0.25"/>
    <row r="42" spans="4:4" ht="15" hidden="1" x14ac:dyDescent="0.25"/>
    <row r="43" spans="4:4" ht="15" hidden="1" x14ac:dyDescent="0.25"/>
    <row r="44" spans="4:4" ht="15" hidden="1" x14ac:dyDescent="0.25"/>
    <row r="45" spans="4:4" ht="15" hidden="1" x14ac:dyDescent="0.25"/>
    <row r="46" spans="4:4" ht="15" hidden="1" x14ac:dyDescent="0.25"/>
    <row r="47" spans="4:4" ht="15" hidden="1" x14ac:dyDescent="0.25"/>
    <row r="48" spans="4:4" ht="15" hidden="1" x14ac:dyDescent="0.25"/>
    <row r="49" ht="15" hidden="1" x14ac:dyDescent="0.25"/>
    <row r="50" ht="15" hidden="1" x14ac:dyDescent="0.25"/>
    <row r="51" ht="15" hidden="1" x14ac:dyDescent="0.25"/>
    <row r="52" ht="15" hidden="1" x14ac:dyDescent="0.25"/>
    <row r="53" ht="15" hidden="1" x14ac:dyDescent="0.25"/>
    <row r="54" ht="15" hidden="1" x14ac:dyDescent="0.25"/>
  </sheetData>
  <sheetProtection sheet="1" objects="1" scenarios="1"/>
  <mergeCells count="1">
    <mergeCell ref="C4:D4"/>
  </mergeCells>
  <pageMargins left="0.75" right="0.75" top="1" bottom="1" header="0.5" footer="0.5"/>
  <pageSetup paperSize="9" scale="87" orientation="landscape" horizontalDpi="300" verticalDpi="300" r:id="rId1"/>
  <headerFooter alignWithMargins="0"/>
  <drawing r:id="rId2"/>
  <picture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D110"/>
  <sheetViews>
    <sheetView showGridLines="0" zoomScale="90" zoomScaleNormal="90" workbookViewId="0">
      <selection activeCell="B1" sqref="B1"/>
    </sheetView>
  </sheetViews>
  <sheetFormatPr defaultColWidth="8.85546875" defaultRowHeight="15.75" x14ac:dyDescent="0.25"/>
  <cols>
    <col min="1" max="1" width="3" style="50" customWidth="1"/>
    <col min="2" max="2" width="32.85546875" style="56" customWidth="1"/>
    <col min="3" max="3" width="12.140625" style="50" customWidth="1"/>
    <col min="4" max="4" width="18.28515625" style="50" customWidth="1"/>
    <col min="5" max="5" width="17.140625" style="50" customWidth="1"/>
    <col min="6" max="6" width="14.7109375" style="50" customWidth="1"/>
    <col min="7" max="7" width="11.85546875" style="50" customWidth="1"/>
    <col min="8" max="8" width="20.28515625" style="50" customWidth="1"/>
    <col min="9" max="9" width="12" style="50" customWidth="1"/>
    <col min="10" max="10" width="9.42578125" style="50" customWidth="1"/>
    <col min="11" max="11" width="12" style="50" customWidth="1"/>
    <col min="12" max="16" width="8.85546875" style="50"/>
    <col min="17" max="17" width="13.42578125" style="50" customWidth="1"/>
    <col min="18" max="22" width="8.85546875" style="50"/>
    <col min="23" max="23" width="20.7109375" style="50" customWidth="1"/>
    <col min="24" max="25" width="8.85546875" style="50"/>
    <col min="26" max="26" width="12.28515625" style="50" customWidth="1"/>
    <col min="27" max="27" width="13.140625" style="50" customWidth="1"/>
    <col min="28" max="16384" width="8.85546875" style="50"/>
  </cols>
  <sheetData>
    <row r="1" spans="2:30" ht="25.9" customHeight="1" x14ac:dyDescent="0.3">
      <c r="B1" s="49" t="s">
        <v>280</v>
      </c>
      <c r="C1" s="49"/>
      <c r="D1" s="49"/>
      <c r="E1" s="49"/>
      <c r="F1" s="50" t="s">
        <v>49</v>
      </c>
      <c r="G1" s="254" t="s">
        <v>50</v>
      </c>
      <c r="H1" s="189"/>
      <c r="P1" s="179" t="s">
        <v>261</v>
      </c>
    </row>
    <row r="2" spans="2:30" ht="13.9" customHeight="1" x14ac:dyDescent="0.25">
      <c r="B2" s="51"/>
      <c r="P2" s="52">
        <v>1</v>
      </c>
      <c r="Q2" s="53" t="s">
        <v>51</v>
      </c>
      <c r="Z2" s="179"/>
      <c r="AA2" s="179"/>
      <c r="AB2" s="179"/>
    </row>
    <row r="3" spans="2:30" ht="17.45" customHeight="1" x14ac:dyDescent="0.25">
      <c r="B3" s="179" t="s">
        <v>299</v>
      </c>
      <c r="C3" s="179"/>
      <c r="D3" s="179"/>
      <c r="E3" s="179"/>
      <c r="F3" s="179"/>
      <c r="G3" s="179"/>
      <c r="H3" s="179"/>
      <c r="I3" s="56"/>
      <c r="J3" s="56"/>
      <c r="M3" s="56"/>
      <c r="P3" s="57">
        <v>2</v>
      </c>
      <c r="Q3" s="63" t="s">
        <v>53</v>
      </c>
      <c r="AA3" s="58"/>
      <c r="AB3" s="58"/>
      <c r="AC3" s="58"/>
      <c r="AD3" s="70"/>
    </row>
    <row r="4" spans="2:30" ht="17.45" customHeight="1" x14ac:dyDescent="0.25">
      <c r="B4" s="322" t="s">
        <v>304</v>
      </c>
      <c r="C4" s="179"/>
      <c r="D4" s="179"/>
      <c r="E4" s="179"/>
      <c r="F4" s="179"/>
      <c r="G4" s="179"/>
      <c r="H4" s="179"/>
      <c r="I4" s="56"/>
      <c r="J4" s="56"/>
      <c r="M4" s="56"/>
      <c r="P4" s="57">
        <v>3</v>
      </c>
      <c r="Q4" s="63" t="s">
        <v>66</v>
      </c>
      <c r="AA4" s="58"/>
      <c r="AB4" s="58"/>
      <c r="AC4" s="58"/>
      <c r="AD4" s="70"/>
    </row>
    <row r="5" spans="2:30" x14ac:dyDescent="0.25">
      <c r="B5" s="179" t="s">
        <v>305</v>
      </c>
      <c r="C5" s="179"/>
      <c r="D5" s="179"/>
      <c r="E5" s="179"/>
      <c r="F5" s="179"/>
      <c r="G5" s="179"/>
      <c r="H5" s="264"/>
      <c r="P5" s="57">
        <v>4</v>
      </c>
      <c r="Q5" s="63" t="s">
        <v>54</v>
      </c>
      <c r="Z5" s="56"/>
      <c r="AA5" s="56"/>
      <c r="AB5" s="56"/>
    </row>
    <row r="6" spans="2:30" x14ac:dyDescent="0.25">
      <c r="B6" s="179" t="s">
        <v>306</v>
      </c>
      <c r="C6" s="179"/>
      <c r="D6" s="179"/>
      <c r="E6" s="179"/>
      <c r="F6" s="179"/>
      <c r="G6" s="179"/>
      <c r="H6" s="264"/>
      <c r="P6" s="57">
        <v>5</v>
      </c>
      <c r="Q6" s="63" t="s">
        <v>56</v>
      </c>
      <c r="Z6" s="56"/>
      <c r="AA6" s="56"/>
      <c r="AB6" s="56"/>
    </row>
    <row r="7" spans="2:30" x14ac:dyDescent="0.25">
      <c r="B7" s="179"/>
      <c r="C7" s="179"/>
      <c r="D7" s="179"/>
      <c r="E7" s="179"/>
      <c r="F7" s="179"/>
      <c r="G7" s="179"/>
      <c r="H7" s="264"/>
      <c r="P7" s="57">
        <v>6</v>
      </c>
      <c r="Q7" s="63" t="s">
        <v>57</v>
      </c>
      <c r="Z7" s="56"/>
      <c r="AA7" s="56"/>
      <c r="AB7" s="56"/>
    </row>
    <row r="8" spans="2:30" x14ac:dyDescent="0.25">
      <c r="B8" s="289" t="s">
        <v>277</v>
      </c>
      <c r="C8" s="55"/>
      <c r="D8" s="55"/>
      <c r="E8" s="55"/>
      <c r="F8" s="55"/>
      <c r="G8" s="290"/>
      <c r="H8" s="61"/>
      <c r="P8" s="68">
        <v>7</v>
      </c>
      <c r="Q8" s="69" t="s">
        <v>58</v>
      </c>
      <c r="Z8" s="56"/>
      <c r="AA8" s="56"/>
      <c r="AB8" s="56"/>
    </row>
    <row r="9" spans="2:30" x14ac:dyDescent="0.25">
      <c r="B9" s="293"/>
      <c r="C9" s="263" t="s">
        <v>67</v>
      </c>
      <c r="D9" s="263" t="s">
        <v>68</v>
      </c>
      <c r="E9" s="263" t="s">
        <v>69</v>
      </c>
      <c r="F9" s="304"/>
      <c r="G9" s="305" t="s">
        <v>31</v>
      </c>
      <c r="H9" s="61"/>
      <c r="Z9" s="56"/>
      <c r="AA9" s="56"/>
      <c r="AB9" s="56"/>
    </row>
    <row r="10" spans="2:30" x14ac:dyDescent="0.25">
      <c r="B10" s="59" t="s">
        <v>288</v>
      </c>
      <c r="C10" s="61">
        <v>20000</v>
      </c>
      <c r="D10" s="61">
        <v>15000</v>
      </c>
      <c r="E10" s="61">
        <v>10000</v>
      </c>
      <c r="F10" s="60"/>
      <c r="G10" s="291" t="s">
        <v>52</v>
      </c>
      <c r="H10" s="61"/>
      <c r="Z10" s="56"/>
      <c r="AA10" s="56"/>
      <c r="AB10" s="56"/>
    </row>
    <row r="11" spans="2:30" x14ac:dyDescent="0.25">
      <c r="B11" s="59" t="s">
        <v>286</v>
      </c>
      <c r="C11" s="61">
        <v>75</v>
      </c>
      <c r="D11" s="61">
        <v>140</v>
      </c>
      <c r="E11" s="61">
        <v>250</v>
      </c>
      <c r="F11" s="60"/>
      <c r="G11" s="265" t="s">
        <v>278</v>
      </c>
      <c r="H11" s="71"/>
      <c r="Z11" s="56"/>
      <c r="AA11" s="56"/>
      <c r="AB11" s="56"/>
    </row>
    <row r="12" spans="2:30" x14ac:dyDescent="0.25">
      <c r="B12" s="59" t="s">
        <v>134</v>
      </c>
      <c r="C12" s="61">
        <v>360</v>
      </c>
      <c r="D12" s="61">
        <v>490</v>
      </c>
      <c r="E12" s="61">
        <v>565</v>
      </c>
      <c r="F12" s="60"/>
      <c r="G12" s="291" t="s">
        <v>100</v>
      </c>
      <c r="Z12" s="56"/>
      <c r="AA12" s="56"/>
      <c r="AB12" s="56"/>
    </row>
    <row r="13" spans="2:30" x14ac:dyDescent="0.25">
      <c r="B13" s="59" t="s">
        <v>279</v>
      </c>
      <c r="C13" s="61">
        <v>1.7</v>
      </c>
      <c r="D13" s="67">
        <v>1.5</v>
      </c>
      <c r="E13" s="61">
        <v>1.2</v>
      </c>
      <c r="F13" s="60"/>
      <c r="G13" s="291" t="s">
        <v>59</v>
      </c>
      <c r="H13" s="61"/>
      <c r="Z13" s="56"/>
      <c r="AA13" s="56"/>
      <c r="AB13" s="56"/>
    </row>
    <row r="14" spans="2:30" x14ac:dyDescent="0.25">
      <c r="B14" s="59" t="s">
        <v>102</v>
      </c>
      <c r="C14" s="61">
        <v>80</v>
      </c>
      <c r="D14" s="61">
        <v>80</v>
      </c>
      <c r="E14" s="61">
        <v>80</v>
      </c>
      <c r="F14" s="60"/>
      <c r="G14" s="291" t="s">
        <v>60</v>
      </c>
      <c r="H14" s="61"/>
      <c r="Z14" s="56"/>
      <c r="AA14" s="56"/>
      <c r="AB14" s="56"/>
    </row>
    <row r="15" spans="2:30" x14ac:dyDescent="0.25">
      <c r="B15" s="59" t="s">
        <v>107</v>
      </c>
      <c r="C15" s="61">
        <v>9.8000000000000007</v>
      </c>
      <c r="D15" s="61">
        <v>11.7</v>
      </c>
      <c r="E15" s="61">
        <v>11</v>
      </c>
      <c r="F15" s="60"/>
      <c r="G15" s="265" t="s">
        <v>65</v>
      </c>
      <c r="H15" s="61"/>
      <c r="I15" s="62" t="s">
        <v>55</v>
      </c>
      <c r="L15" s="62"/>
      <c r="M15" s="62"/>
      <c r="Z15" s="56"/>
      <c r="AA15" s="56"/>
      <c r="AB15" s="56"/>
    </row>
    <row r="16" spans="2:30" x14ac:dyDescent="0.25">
      <c r="B16" s="59"/>
      <c r="C16" s="60"/>
      <c r="D16" s="60"/>
      <c r="E16" s="60"/>
      <c r="F16" s="60"/>
      <c r="G16" s="292"/>
      <c r="H16" s="61"/>
      <c r="I16" s="61"/>
      <c r="J16" s="66">
        <v>1</v>
      </c>
      <c r="K16" s="61"/>
      <c r="L16" s="62"/>
      <c r="M16" s="62"/>
      <c r="Z16" s="56"/>
      <c r="AA16" s="56"/>
      <c r="AB16" s="56"/>
    </row>
    <row r="17" spans="2:28" x14ac:dyDescent="0.25">
      <c r="B17" s="59"/>
      <c r="C17" s="60"/>
      <c r="D17" s="60"/>
      <c r="E17" s="60"/>
      <c r="F17" s="60"/>
      <c r="G17" s="292"/>
      <c r="H17" s="62"/>
      <c r="I17" s="61"/>
      <c r="L17" s="62"/>
      <c r="Z17" s="56"/>
      <c r="AA17" s="56"/>
      <c r="AB17" s="56"/>
    </row>
    <row r="18" spans="2:28" x14ac:dyDescent="0.25">
      <c r="B18" s="59"/>
      <c r="C18" s="262" t="s">
        <v>262</v>
      </c>
      <c r="D18" s="262" t="s">
        <v>80</v>
      </c>
      <c r="E18" s="298" t="s">
        <v>81</v>
      </c>
      <c r="F18" s="298" t="s">
        <v>82</v>
      </c>
      <c r="G18" s="292"/>
      <c r="I18" s="50" t="s">
        <v>61</v>
      </c>
      <c r="J18" s="61"/>
      <c r="L18" s="62"/>
      <c r="M18" s="62"/>
      <c r="Z18" s="56"/>
      <c r="AA18" s="56"/>
      <c r="AB18" s="56"/>
    </row>
    <row r="19" spans="2:28" x14ac:dyDescent="0.25">
      <c r="B19" s="294" t="s">
        <v>78</v>
      </c>
      <c r="C19" s="330">
        <v>0.77900000000000003</v>
      </c>
      <c r="D19" s="330">
        <v>4.8000000000000001E-2</v>
      </c>
      <c r="E19" s="330">
        <v>0.13800000000000001</v>
      </c>
      <c r="F19" s="330">
        <v>3.5000000000000003E-2</v>
      </c>
      <c r="G19" s="292"/>
      <c r="H19" s="61"/>
      <c r="I19" s="61"/>
      <c r="J19" s="66">
        <v>1</v>
      </c>
      <c r="K19" s="61"/>
      <c r="L19" s="333"/>
      <c r="Z19" s="56"/>
      <c r="AA19" s="56"/>
      <c r="AB19" s="56"/>
    </row>
    <row r="20" spans="2:28" x14ac:dyDescent="0.25">
      <c r="B20" s="295" t="s">
        <v>83</v>
      </c>
      <c r="C20" s="60"/>
      <c r="D20" s="60"/>
      <c r="E20" s="60"/>
      <c r="F20" s="60"/>
      <c r="G20" s="292"/>
      <c r="H20" s="67"/>
      <c r="AA20" s="56"/>
      <c r="AB20" s="56"/>
    </row>
    <row r="21" spans="2:28" x14ac:dyDescent="0.25">
      <c r="B21" s="296" t="s">
        <v>84</v>
      </c>
      <c r="C21" s="330">
        <v>7.0000000000000007E-2</v>
      </c>
      <c r="D21" s="330">
        <v>0.19</v>
      </c>
      <c r="E21" s="330">
        <v>0.31</v>
      </c>
      <c r="F21" s="330">
        <v>0.36</v>
      </c>
      <c r="G21" s="292"/>
      <c r="H21" s="67"/>
      <c r="I21" s="50" t="s">
        <v>63</v>
      </c>
      <c r="J21" s="61"/>
      <c r="AA21" s="56"/>
      <c r="AB21" s="56"/>
    </row>
    <row r="22" spans="2:28" x14ac:dyDescent="0.25">
      <c r="B22" s="296" t="s">
        <v>85</v>
      </c>
      <c r="C22" s="330">
        <v>0.04</v>
      </c>
      <c r="D22" s="330">
        <v>0.11</v>
      </c>
      <c r="E22" s="330">
        <v>0.31</v>
      </c>
      <c r="F22" s="331">
        <v>0.2</v>
      </c>
      <c r="G22" s="292"/>
      <c r="H22" s="67"/>
      <c r="I22" s="61"/>
      <c r="J22" s="66">
        <v>3</v>
      </c>
      <c r="K22" s="61"/>
      <c r="L22" s="61"/>
      <c r="M22" s="61"/>
      <c r="AA22" s="56"/>
      <c r="AB22" s="56"/>
    </row>
    <row r="23" spans="2:28" x14ac:dyDescent="0.25">
      <c r="B23" s="296" t="s">
        <v>86</v>
      </c>
      <c r="C23" s="330">
        <v>0.68</v>
      </c>
      <c r="D23" s="330">
        <v>0.19</v>
      </c>
      <c r="E23" s="330">
        <v>0.21</v>
      </c>
      <c r="F23" s="330">
        <v>0.21</v>
      </c>
      <c r="G23" s="292"/>
      <c r="H23" s="72"/>
      <c r="I23" s="61"/>
      <c r="J23" s="61"/>
      <c r="Z23" s="56"/>
      <c r="AA23" s="56"/>
      <c r="AB23" s="56"/>
    </row>
    <row r="24" spans="2:28" x14ac:dyDescent="0.25">
      <c r="B24" s="296" t="s">
        <v>87</v>
      </c>
      <c r="C24" s="330">
        <v>0.02</v>
      </c>
      <c r="D24" s="330">
        <v>0.05</v>
      </c>
      <c r="E24" s="330">
        <v>2.5999999999999999E-2</v>
      </c>
      <c r="F24" s="330">
        <v>3.2000000000000001E-2</v>
      </c>
      <c r="G24" s="292"/>
      <c r="I24" s="50" t="s">
        <v>64</v>
      </c>
      <c r="J24" s="61"/>
      <c r="AA24" s="56"/>
      <c r="AB24" s="56"/>
    </row>
    <row r="25" spans="2:28" x14ac:dyDescent="0.25">
      <c r="B25" s="64"/>
      <c r="C25" s="65"/>
      <c r="D25" s="65"/>
      <c r="E25" s="65"/>
      <c r="F25" s="65"/>
      <c r="G25" s="297"/>
      <c r="H25" s="61"/>
      <c r="I25" s="333"/>
      <c r="J25" s="66">
        <v>3</v>
      </c>
      <c r="K25" s="61"/>
      <c r="AA25" s="56"/>
      <c r="AB25" s="56"/>
    </row>
    <row r="26" spans="2:28" x14ac:dyDescent="0.25">
      <c r="G26" s="261"/>
      <c r="H26" s="61"/>
      <c r="AA26" s="56"/>
      <c r="AB26" s="56"/>
    </row>
    <row r="27" spans="2:28" x14ac:dyDescent="0.25">
      <c r="B27" s="289" t="s">
        <v>281</v>
      </c>
      <c r="C27" s="55"/>
      <c r="D27" s="55"/>
      <c r="E27" s="55"/>
      <c r="F27" s="55"/>
      <c r="G27" s="290"/>
      <c r="H27" s="61"/>
      <c r="I27" s="61"/>
      <c r="J27" s="61"/>
      <c r="Z27" s="56"/>
      <c r="AA27" s="56"/>
      <c r="AB27" s="56"/>
    </row>
    <row r="28" spans="2:28" x14ac:dyDescent="0.25">
      <c r="B28" s="293"/>
      <c r="C28" s="263" t="s">
        <v>67</v>
      </c>
      <c r="D28" s="263" t="s">
        <v>68</v>
      </c>
      <c r="E28" s="263" t="s">
        <v>69</v>
      </c>
      <c r="F28" s="304"/>
      <c r="G28" s="305" t="s">
        <v>31</v>
      </c>
      <c r="H28" s="61"/>
      <c r="J28" s="67"/>
      <c r="Z28" s="56"/>
      <c r="AA28" s="56"/>
      <c r="AB28" s="56"/>
    </row>
    <row r="29" spans="2:28" x14ac:dyDescent="0.25">
      <c r="B29" s="59" t="s">
        <v>288</v>
      </c>
      <c r="C29" s="61">
        <v>0</v>
      </c>
      <c r="D29" s="61">
        <v>0</v>
      </c>
      <c r="E29" s="61">
        <v>0</v>
      </c>
      <c r="F29" s="60"/>
      <c r="G29" s="291" t="s">
        <v>52</v>
      </c>
      <c r="H29" s="62"/>
      <c r="I29" s="62"/>
      <c r="Z29" s="56"/>
      <c r="AA29" s="56"/>
      <c r="AB29" s="56"/>
    </row>
    <row r="30" spans="2:28" x14ac:dyDescent="0.25">
      <c r="B30" s="59" t="s">
        <v>286</v>
      </c>
      <c r="C30" s="61">
        <v>0</v>
      </c>
      <c r="D30" s="61">
        <v>0</v>
      </c>
      <c r="E30" s="61">
        <v>0</v>
      </c>
      <c r="F30" s="60"/>
      <c r="G30" s="265" t="s">
        <v>278</v>
      </c>
      <c r="Z30" s="56"/>
      <c r="AA30" s="56"/>
      <c r="AB30" s="56"/>
    </row>
    <row r="31" spans="2:28" x14ac:dyDescent="0.25">
      <c r="B31" s="59" t="s">
        <v>134</v>
      </c>
      <c r="C31" s="61">
        <v>0</v>
      </c>
      <c r="D31" s="61">
        <v>0</v>
      </c>
      <c r="E31" s="61">
        <v>0</v>
      </c>
      <c r="F31" s="60"/>
      <c r="G31" s="291" t="s">
        <v>100</v>
      </c>
      <c r="H31" s="61"/>
      <c r="I31" s="61"/>
      <c r="Z31" s="56"/>
      <c r="AA31" s="56"/>
      <c r="AB31" s="56"/>
    </row>
    <row r="32" spans="2:28" x14ac:dyDescent="0.25">
      <c r="B32" s="59" t="s">
        <v>279</v>
      </c>
      <c r="C32" s="61">
        <v>0</v>
      </c>
      <c r="D32" s="61">
        <v>0</v>
      </c>
      <c r="E32" s="61">
        <v>0</v>
      </c>
      <c r="F32" s="60"/>
      <c r="G32" s="291" t="s">
        <v>59</v>
      </c>
      <c r="H32" s="61"/>
      <c r="I32" s="61"/>
      <c r="Z32" s="56"/>
      <c r="AA32" s="56"/>
      <c r="AB32" s="56"/>
    </row>
    <row r="33" spans="2:28" x14ac:dyDescent="0.25">
      <c r="B33" s="59" t="s">
        <v>102</v>
      </c>
      <c r="C33" s="61">
        <v>0</v>
      </c>
      <c r="D33" s="61">
        <v>0</v>
      </c>
      <c r="E33" s="61">
        <v>0</v>
      </c>
      <c r="F33" s="60"/>
      <c r="G33" s="291" t="s">
        <v>60</v>
      </c>
      <c r="H33" s="61"/>
      <c r="I33" s="61"/>
      <c r="Z33" s="56"/>
      <c r="AA33" s="56"/>
      <c r="AB33" s="56"/>
    </row>
    <row r="34" spans="2:28" x14ac:dyDescent="0.25">
      <c r="B34" s="59" t="s">
        <v>107</v>
      </c>
      <c r="C34" s="61">
        <v>0</v>
      </c>
      <c r="D34" s="61">
        <v>0</v>
      </c>
      <c r="E34" s="61">
        <v>0</v>
      </c>
      <c r="F34" s="60"/>
      <c r="G34" s="265" t="s">
        <v>65</v>
      </c>
      <c r="H34" s="61"/>
      <c r="I34" s="61"/>
      <c r="Z34" s="56"/>
      <c r="AA34" s="56"/>
      <c r="AB34" s="56"/>
    </row>
    <row r="35" spans="2:28" x14ac:dyDescent="0.25">
      <c r="B35" s="59"/>
      <c r="C35" s="60"/>
      <c r="D35" s="60"/>
      <c r="E35" s="60"/>
      <c r="F35" s="60"/>
      <c r="G35" s="292"/>
      <c r="H35" s="61"/>
      <c r="I35" s="61"/>
      <c r="Z35" s="56"/>
      <c r="AA35" s="56"/>
      <c r="AB35" s="56"/>
    </row>
    <row r="36" spans="2:28" x14ac:dyDescent="0.25">
      <c r="B36" s="59"/>
      <c r="C36" s="60"/>
      <c r="D36" s="60"/>
      <c r="E36" s="60"/>
      <c r="F36" s="60"/>
      <c r="G36" s="292"/>
      <c r="H36" s="61"/>
      <c r="I36" s="61"/>
      <c r="Z36" s="56"/>
      <c r="AA36" s="56"/>
      <c r="AB36" s="56"/>
    </row>
    <row r="37" spans="2:28" x14ac:dyDescent="0.25">
      <c r="B37" s="59"/>
      <c r="C37" s="262" t="s">
        <v>262</v>
      </c>
      <c r="D37" s="262" t="s">
        <v>80</v>
      </c>
      <c r="E37" s="298" t="s">
        <v>81</v>
      </c>
      <c r="F37" s="298" t="s">
        <v>82</v>
      </c>
      <c r="G37" s="292"/>
      <c r="H37" s="61"/>
      <c r="I37" s="61"/>
      <c r="Z37" s="56"/>
      <c r="AA37" s="56"/>
      <c r="AB37" s="56"/>
    </row>
    <row r="38" spans="2:28" x14ac:dyDescent="0.25">
      <c r="B38" s="294" t="s">
        <v>78</v>
      </c>
      <c r="C38" s="330">
        <v>0</v>
      </c>
      <c r="D38" s="330">
        <v>0</v>
      </c>
      <c r="E38" s="330">
        <v>0</v>
      </c>
      <c r="F38" s="330">
        <v>0</v>
      </c>
      <c r="G38" s="292"/>
      <c r="H38" s="61"/>
      <c r="I38" s="61"/>
      <c r="Z38" s="56"/>
      <c r="AA38" s="56"/>
      <c r="AB38" s="56"/>
    </row>
    <row r="39" spans="2:28" x14ac:dyDescent="0.25">
      <c r="B39" s="295" t="s">
        <v>83</v>
      </c>
      <c r="C39" s="60"/>
      <c r="D39" s="60"/>
      <c r="E39" s="60"/>
      <c r="F39" s="60"/>
      <c r="G39" s="292"/>
      <c r="H39" s="61"/>
      <c r="I39" s="61"/>
      <c r="Z39" s="56"/>
      <c r="AA39" s="56"/>
      <c r="AB39" s="56"/>
    </row>
    <row r="40" spans="2:28" x14ac:dyDescent="0.25">
      <c r="B40" s="296" t="s">
        <v>84</v>
      </c>
      <c r="C40" s="330">
        <v>0</v>
      </c>
      <c r="D40" s="330">
        <v>0</v>
      </c>
      <c r="E40" s="330">
        <v>0</v>
      </c>
      <c r="F40" s="330">
        <v>0</v>
      </c>
      <c r="G40" s="292"/>
    </row>
    <row r="41" spans="2:28" x14ac:dyDescent="0.25">
      <c r="B41" s="296" t="s">
        <v>85</v>
      </c>
      <c r="C41" s="330">
        <v>0</v>
      </c>
      <c r="D41" s="330">
        <v>0</v>
      </c>
      <c r="E41" s="330">
        <v>0</v>
      </c>
      <c r="F41" s="330">
        <v>0</v>
      </c>
      <c r="G41" s="292"/>
    </row>
    <row r="42" spans="2:28" x14ac:dyDescent="0.25">
      <c r="B42" s="296" t="s">
        <v>86</v>
      </c>
      <c r="C42" s="330">
        <v>0</v>
      </c>
      <c r="D42" s="330">
        <v>0</v>
      </c>
      <c r="E42" s="330">
        <v>0</v>
      </c>
      <c r="F42" s="330">
        <v>0</v>
      </c>
      <c r="G42" s="292"/>
    </row>
    <row r="43" spans="2:28" x14ac:dyDescent="0.25">
      <c r="B43" s="296" t="s">
        <v>87</v>
      </c>
      <c r="C43" s="330">
        <v>0</v>
      </c>
      <c r="D43" s="330">
        <v>0</v>
      </c>
      <c r="E43" s="330">
        <v>0</v>
      </c>
      <c r="F43" s="330">
        <v>0</v>
      </c>
      <c r="G43" s="292"/>
    </row>
    <row r="44" spans="2:28" x14ac:dyDescent="0.25">
      <c r="B44" s="64"/>
      <c r="C44" s="65"/>
      <c r="D44" s="65"/>
      <c r="E44" s="65"/>
      <c r="F44" s="65"/>
      <c r="G44" s="297"/>
    </row>
    <row r="45" spans="2:28" x14ac:dyDescent="0.25">
      <c r="G45" s="261"/>
    </row>
    <row r="46" spans="2:28" x14ac:dyDescent="0.25">
      <c r="B46" s="289" t="s">
        <v>282</v>
      </c>
      <c r="C46" s="55"/>
      <c r="D46" s="55"/>
      <c r="E46" s="55"/>
      <c r="F46" s="55"/>
      <c r="G46" s="290"/>
    </row>
    <row r="47" spans="2:28" x14ac:dyDescent="0.25">
      <c r="B47" s="293"/>
      <c r="C47" s="263" t="s">
        <v>67</v>
      </c>
      <c r="D47" s="263" t="s">
        <v>68</v>
      </c>
      <c r="E47" s="263" t="s">
        <v>69</v>
      </c>
      <c r="F47" s="304"/>
      <c r="G47" s="305" t="s">
        <v>31</v>
      </c>
    </row>
    <row r="48" spans="2:28" x14ac:dyDescent="0.25">
      <c r="B48" s="59" t="s">
        <v>288</v>
      </c>
      <c r="C48" s="61">
        <v>0</v>
      </c>
      <c r="D48" s="61">
        <v>0</v>
      </c>
      <c r="E48" s="61">
        <v>0</v>
      </c>
      <c r="F48" s="60"/>
      <c r="G48" s="291" t="s">
        <v>52</v>
      </c>
    </row>
    <row r="49" spans="2:7" x14ac:dyDescent="0.25">
      <c r="B49" s="59" t="s">
        <v>286</v>
      </c>
      <c r="C49" s="61">
        <v>0</v>
      </c>
      <c r="D49" s="61">
        <v>0</v>
      </c>
      <c r="E49" s="61">
        <v>0</v>
      </c>
      <c r="F49" s="60"/>
      <c r="G49" s="265" t="s">
        <v>278</v>
      </c>
    </row>
    <row r="50" spans="2:7" x14ac:dyDescent="0.25">
      <c r="B50" s="59" t="s">
        <v>134</v>
      </c>
      <c r="C50" s="61">
        <v>0</v>
      </c>
      <c r="D50" s="61">
        <v>0</v>
      </c>
      <c r="E50" s="61">
        <v>0</v>
      </c>
      <c r="F50" s="60"/>
      <c r="G50" s="291" t="s">
        <v>100</v>
      </c>
    </row>
    <row r="51" spans="2:7" x14ac:dyDescent="0.25">
      <c r="B51" s="59" t="s">
        <v>279</v>
      </c>
      <c r="C51" s="61">
        <v>0</v>
      </c>
      <c r="D51" s="61">
        <v>0</v>
      </c>
      <c r="E51" s="61">
        <v>0</v>
      </c>
      <c r="F51" s="60"/>
      <c r="G51" s="291" t="s">
        <v>59</v>
      </c>
    </row>
    <row r="52" spans="2:7" x14ac:dyDescent="0.25">
      <c r="B52" s="59" t="s">
        <v>102</v>
      </c>
      <c r="C52" s="61">
        <v>0</v>
      </c>
      <c r="D52" s="61">
        <v>0</v>
      </c>
      <c r="E52" s="61">
        <v>0</v>
      </c>
      <c r="F52" s="60"/>
      <c r="G52" s="291" t="s">
        <v>60</v>
      </c>
    </row>
    <row r="53" spans="2:7" x14ac:dyDescent="0.25">
      <c r="B53" s="59" t="s">
        <v>107</v>
      </c>
      <c r="C53" s="61">
        <v>0</v>
      </c>
      <c r="D53" s="61">
        <v>0</v>
      </c>
      <c r="E53" s="61">
        <v>0</v>
      </c>
      <c r="F53" s="60"/>
      <c r="G53" s="265" t="s">
        <v>65</v>
      </c>
    </row>
    <row r="54" spans="2:7" x14ac:dyDescent="0.25">
      <c r="B54" s="59"/>
      <c r="C54" s="60"/>
      <c r="D54" s="60"/>
      <c r="E54" s="60"/>
      <c r="F54" s="60"/>
      <c r="G54" s="292"/>
    </row>
    <row r="55" spans="2:7" x14ac:dyDescent="0.25">
      <c r="B55" s="59"/>
      <c r="C55" s="60"/>
      <c r="D55" s="60"/>
      <c r="E55" s="60"/>
      <c r="F55" s="60"/>
      <c r="G55" s="292"/>
    </row>
    <row r="56" spans="2:7" x14ac:dyDescent="0.25">
      <c r="B56" s="59"/>
      <c r="C56" s="262" t="s">
        <v>262</v>
      </c>
      <c r="D56" s="262" t="s">
        <v>80</v>
      </c>
      <c r="E56" s="298" t="s">
        <v>81</v>
      </c>
      <c r="F56" s="298" t="s">
        <v>82</v>
      </c>
      <c r="G56" s="292"/>
    </row>
    <row r="57" spans="2:7" x14ac:dyDescent="0.25">
      <c r="B57" s="294" t="s">
        <v>78</v>
      </c>
      <c r="C57" s="330">
        <v>0</v>
      </c>
      <c r="D57" s="330">
        <v>0</v>
      </c>
      <c r="E57" s="330">
        <v>0</v>
      </c>
      <c r="F57" s="330">
        <v>0</v>
      </c>
      <c r="G57" s="292"/>
    </row>
    <row r="58" spans="2:7" x14ac:dyDescent="0.25">
      <c r="B58" s="295" t="s">
        <v>83</v>
      </c>
      <c r="C58" s="60"/>
      <c r="D58" s="60"/>
      <c r="E58" s="60"/>
      <c r="F58" s="60"/>
      <c r="G58" s="292"/>
    </row>
    <row r="59" spans="2:7" x14ac:dyDescent="0.25">
      <c r="B59" s="296" t="s">
        <v>84</v>
      </c>
      <c r="C59" s="330">
        <v>0</v>
      </c>
      <c r="D59" s="330">
        <v>0</v>
      </c>
      <c r="E59" s="330">
        <v>0</v>
      </c>
      <c r="F59" s="330">
        <v>0</v>
      </c>
      <c r="G59" s="292"/>
    </row>
    <row r="60" spans="2:7" x14ac:dyDescent="0.25">
      <c r="B60" s="296" t="s">
        <v>85</v>
      </c>
      <c r="C60" s="330">
        <v>0</v>
      </c>
      <c r="D60" s="330">
        <v>0</v>
      </c>
      <c r="E60" s="330">
        <v>0</v>
      </c>
      <c r="F60" s="330">
        <v>0</v>
      </c>
      <c r="G60" s="292"/>
    </row>
    <row r="61" spans="2:7" x14ac:dyDescent="0.25">
      <c r="B61" s="296" t="s">
        <v>86</v>
      </c>
      <c r="C61" s="330">
        <v>0</v>
      </c>
      <c r="D61" s="330">
        <v>0</v>
      </c>
      <c r="E61" s="330">
        <v>0</v>
      </c>
      <c r="F61" s="330">
        <v>0</v>
      </c>
      <c r="G61" s="292"/>
    </row>
    <row r="62" spans="2:7" x14ac:dyDescent="0.25">
      <c r="B62" s="296" t="s">
        <v>87</v>
      </c>
      <c r="C62" s="330">
        <v>0</v>
      </c>
      <c r="D62" s="330">
        <v>0</v>
      </c>
      <c r="E62" s="330">
        <v>0</v>
      </c>
      <c r="F62" s="330">
        <v>0</v>
      </c>
      <c r="G62" s="292"/>
    </row>
    <row r="63" spans="2:7" x14ac:dyDescent="0.25">
      <c r="B63" s="64"/>
      <c r="C63" s="65"/>
      <c r="D63" s="65"/>
      <c r="E63" s="65"/>
      <c r="F63" s="65"/>
      <c r="G63" s="297"/>
    </row>
    <row r="64" spans="2:7" x14ac:dyDescent="0.25">
      <c r="G64" s="261"/>
    </row>
    <row r="65" spans="2:7" x14ac:dyDescent="0.25">
      <c r="B65" s="289" t="s">
        <v>283</v>
      </c>
      <c r="C65" s="55"/>
      <c r="D65" s="55"/>
      <c r="E65" s="55"/>
      <c r="F65" s="55"/>
      <c r="G65" s="290"/>
    </row>
    <row r="66" spans="2:7" x14ac:dyDescent="0.25">
      <c r="B66" s="293"/>
      <c r="C66" s="263" t="s">
        <v>67</v>
      </c>
      <c r="D66" s="263" t="s">
        <v>68</v>
      </c>
      <c r="E66" s="263" t="s">
        <v>69</v>
      </c>
      <c r="F66" s="304"/>
      <c r="G66" s="305" t="s">
        <v>31</v>
      </c>
    </row>
    <row r="67" spans="2:7" x14ac:dyDescent="0.25">
      <c r="B67" s="59" t="s">
        <v>288</v>
      </c>
      <c r="C67" s="61">
        <v>0</v>
      </c>
      <c r="D67" s="61">
        <v>0</v>
      </c>
      <c r="E67" s="61">
        <v>0</v>
      </c>
      <c r="F67" s="60"/>
      <c r="G67" s="291" t="s">
        <v>52</v>
      </c>
    </row>
    <row r="68" spans="2:7" x14ac:dyDescent="0.25">
      <c r="B68" s="59" t="s">
        <v>286</v>
      </c>
      <c r="C68" s="61">
        <v>0</v>
      </c>
      <c r="D68" s="61">
        <v>0</v>
      </c>
      <c r="E68" s="61">
        <v>0</v>
      </c>
      <c r="F68" s="60"/>
      <c r="G68" s="265" t="s">
        <v>278</v>
      </c>
    </row>
    <row r="69" spans="2:7" x14ac:dyDescent="0.25">
      <c r="B69" s="59" t="s">
        <v>134</v>
      </c>
      <c r="C69" s="61">
        <v>0</v>
      </c>
      <c r="D69" s="61">
        <v>0</v>
      </c>
      <c r="E69" s="61">
        <v>0</v>
      </c>
      <c r="F69" s="60"/>
      <c r="G69" s="291" t="s">
        <v>100</v>
      </c>
    </row>
    <row r="70" spans="2:7" x14ac:dyDescent="0.25">
      <c r="B70" s="59" t="s">
        <v>279</v>
      </c>
      <c r="C70" s="61">
        <v>0</v>
      </c>
      <c r="D70" s="61">
        <v>0</v>
      </c>
      <c r="E70" s="61">
        <v>0</v>
      </c>
      <c r="F70" s="60"/>
      <c r="G70" s="291" t="s">
        <v>59</v>
      </c>
    </row>
    <row r="71" spans="2:7" x14ac:dyDescent="0.25">
      <c r="B71" s="59" t="s">
        <v>102</v>
      </c>
      <c r="C71" s="61">
        <v>0</v>
      </c>
      <c r="D71" s="61">
        <v>0</v>
      </c>
      <c r="E71" s="61">
        <v>0</v>
      </c>
      <c r="F71" s="60"/>
      <c r="G71" s="291" t="s">
        <v>60</v>
      </c>
    </row>
    <row r="72" spans="2:7" x14ac:dyDescent="0.25">
      <c r="B72" s="59" t="s">
        <v>107</v>
      </c>
      <c r="C72" s="61">
        <v>0</v>
      </c>
      <c r="D72" s="61">
        <v>0</v>
      </c>
      <c r="E72" s="61">
        <v>0</v>
      </c>
      <c r="F72" s="60"/>
      <c r="G72" s="265" t="s">
        <v>65</v>
      </c>
    </row>
    <row r="73" spans="2:7" x14ac:dyDescent="0.25">
      <c r="B73" s="59"/>
      <c r="C73" s="60"/>
      <c r="D73" s="60"/>
      <c r="E73" s="60"/>
      <c r="F73" s="60"/>
      <c r="G73" s="292"/>
    </row>
    <row r="74" spans="2:7" x14ac:dyDescent="0.25">
      <c r="B74" s="59"/>
      <c r="C74" s="60"/>
      <c r="D74" s="60"/>
      <c r="E74" s="60"/>
      <c r="F74" s="60"/>
      <c r="G74" s="292"/>
    </row>
    <row r="75" spans="2:7" x14ac:dyDescent="0.25">
      <c r="B75" s="59"/>
      <c r="C75" s="262" t="s">
        <v>262</v>
      </c>
      <c r="D75" s="262" t="s">
        <v>80</v>
      </c>
      <c r="E75" s="298" t="s">
        <v>81</v>
      </c>
      <c r="F75" s="298" t="s">
        <v>82</v>
      </c>
      <c r="G75" s="292"/>
    </row>
    <row r="76" spans="2:7" x14ac:dyDescent="0.25">
      <c r="B76" s="294" t="s">
        <v>78</v>
      </c>
      <c r="C76" s="330">
        <v>0</v>
      </c>
      <c r="D76" s="330">
        <v>0</v>
      </c>
      <c r="E76" s="330">
        <v>0</v>
      </c>
      <c r="F76" s="330">
        <v>0</v>
      </c>
      <c r="G76" s="292"/>
    </row>
    <row r="77" spans="2:7" x14ac:dyDescent="0.25">
      <c r="B77" s="295" t="s">
        <v>83</v>
      </c>
      <c r="C77" s="60"/>
      <c r="D77" s="60"/>
      <c r="E77" s="60"/>
      <c r="F77" s="60"/>
      <c r="G77" s="292"/>
    </row>
    <row r="78" spans="2:7" x14ac:dyDescent="0.25">
      <c r="B78" s="296" t="s">
        <v>84</v>
      </c>
      <c r="C78" s="330">
        <v>0</v>
      </c>
      <c r="D78" s="330">
        <v>0</v>
      </c>
      <c r="E78" s="330">
        <v>0</v>
      </c>
      <c r="F78" s="330">
        <v>0</v>
      </c>
      <c r="G78" s="292"/>
    </row>
    <row r="79" spans="2:7" x14ac:dyDescent="0.25">
      <c r="B79" s="296" t="s">
        <v>85</v>
      </c>
      <c r="C79" s="330">
        <v>0</v>
      </c>
      <c r="D79" s="330">
        <v>0</v>
      </c>
      <c r="E79" s="330">
        <v>0</v>
      </c>
      <c r="F79" s="330">
        <v>0</v>
      </c>
      <c r="G79" s="292"/>
    </row>
    <row r="80" spans="2:7" x14ac:dyDescent="0.25">
      <c r="B80" s="296" t="s">
        <v>86</v>
      </c>
      <c r="C80" s="330">
        <v>0</v>
      </c>
      <c r="D80" s="330">
        <v>0</v>
      </c>
      <c r="E80" s="330">
        <v>0</v>
      </c>
      <c r="F80" s="330">
        <v>0</v>
      </c>
      <c r="G80" s="292"/>
    </row>
    <row r="81" spans="2:7" x14ac:dyDescent="0.25">
      <c r="B81" s="296" t="s">
        <v>87</v>
      </c>
      <c r="C81" s="330">
        <v>0</v>
      </c>
      <c r="D81" s="330">
        <v>0</v>
      </c>
      <c r="E81" s="330">
        <v>0</v>
      </c>
      <c r="F81" s="330">
        <v>0</v>
      </c>
      <c r="G81" s="292"/>
    </row>
    <row r="82" spans="2:7" x14ac:dyDescent="0.25">
      <c r="B82" s="64"/>
      <c r="C82" s="65"/>
      <c r="D82" s="65"/>
      <c r="E82" s="65"/>
      <c r="F82" s="65"/>
      <c r="G82" s="297"/>
    </row>
    <row r="83" spans="2:7" x14ac:dyDescent="0.25">
      <c r="G83" s="261"/>
    </row>
    <row r="84" spans="2:7" x14ac:dyDescent="0.25">
      <c r="B84" s="54" t="s">
        <v>41</v>
      </c>
      <c r="C84" s="332">
        <v>30000</v>
      </c>
      <c r="D84" s="55"/>
      <c r="E84" s="55"/>
      <c r="F84" s="55"/>
      <c r="G84" s="115" t="s">
        <v>42</v>
      </c>
    </row>
    <row r="85" spans="2:7" x14ac:dyDescent="0.25">
      <c r="B85" s="59" t="s">
        <v>43</v>
      </c>
      <c r="C85" s="61">
        <v>12000</v>
      </c>
      <c r="D85" s="60"/>
      <c r="E85" s="60"/>
      <c r="F85" s="60"/>
      <c r="G85" s="265" t="s">
        <v>44</v>
      </c>
    </row>
    <row r="86" spans="2:7" x14ac:dyDescent="0.25">
      <c r="B86" s="64" t="s">
        <v>46</v>
      </c>
      <c r="C86" s="288">
        <v>1</v>
      </c>
      <c r="D86" s="65"/>
      <c r="E86" s="65"/>
      <c r="F86" s="65"/>
      <c r="G86" s="116" t="s">
        <v>39</v>
      </c>
    </row>
    <row r="103" spans="2:2" x14ac:dyDescent="0.25">
      <c r="B103" s="50"/>
    </row>
    <row r="104" spans="2:2" x14ac:dyDescent="0.25">
      <c r="B104" s="50"/>
    </row>
    <row r="108" spans="2:2" x14ac:dyDescent="0.25">
      <c r="B108" s="50"/>
    </row>
    <row r="109" spans="2:2" x14ac:dyDescent="0.25">
      <c r="B109" s="50"/>
    </row>
    <row r="110" spans="2:2" x14ac:dyDescent="0.25">
      <c r="B110" s="50"/>
    </row>
  </sheetData>
  <sheetProtection sheet="1" objects="1" scenarios="1"/>
  <dataConsolidate/>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Fill="0" autoLine="0" autoPict="0">
                <anchor moveWithCells="1">
                  <from>
                    <xdr:col>8</xdr:col>
                    <xdr:colOff>1009650</xdr:colOff>
                    <xdr:row>24</xdr:row>
                    <xdr:rowOff>0</xdr:rowOff>
                  </from>
                  <to>
                    <xdr:col>10</xdr:col>
                    <xdr:colOff>666750</xdr:colOff>
                    <xdr:row>25</xdr:row>
                    <xdr:rowOff>57150</xdr:rowOff>
                  </to>
                </anchor>
              </controlPr>
            </control>
          </mc:Choice>
        </mc:AlternateContent>
        <mc:AlternateContent xmlns:mc="http://schemas.openxmlformats.org/markup-compatibility/2006">
          <mc:Choice Requires="x14">
            <control shapeId="1027" r:id="rId5" name="Drop Down 3">
              <controlPr defaultSize="0" autoFill="0" autoLine="0" autoPict="0">
                <anchor moveWithCells="1">
                  <from>
                    <xdr:col>8</xdr:col>
                    <xdr:colOff>952500</xdr:colOff>
                    <xdr:row>20</xdr:row>
                    <xdr:rowOff>228600</xdr:rowOff>
                  </from>
                  <to>
                    <xdr:col>12</xdr:col>
                    <xdr:colOff>142875</xdr:colOff>
                    <xdr:row>22</xdr:row>
                    <xdr:rowOff>38100</xdr:rowOff>
                  </to>
                </anchor>
              </controlPr>
            </control>
          </mc:Choice>
        </mc:AlternateContent>
        <mc:AlternateContent xmlns:mc="http://schemas.openxmlformats.org/markup-compatibility/2006">
          <mc:Choice Requires="x14">
            <control shapeId="1028" r:id="rId6" name="Drop Down 4">
              <controlPr defaultSize="0" autoFill="0" autoLine="0" autoPict="0">
                <anchor moveWithCells="1">
                  <from>
                    <xdr:col>8</xdr:col>
                    <xdr:colOff>914400</xdr:colOff>
                    <xdr:row>18</xdr:row>
                    <xdr:rowOff>0</xdr:rowOff>
                  </from>
                  <to>
                    <xdr:col>10</xdr:col>
                    <xdr:colOff>876300</xdr:colOff>
                    <xdr:row>19</xdr:row>
                    <xdr:rowOff>57150</xdr:rowOff>
                  </to>
                </anchor>
              </controlPr>
            </control>
          </mc:Choice>
        </mc:AlternateContent>
        <mc:AlternateContent xmlns:mc="http://schemas.openxmlformats.org/markup-compatibility/2006">
          <mc:Choice Requires="x14">
            <control shapeId="1052" r:id="rId7" name="Drop Down 1">
              <controlPr defaultSize="0" autoFill="0" autoLine="0" autoPict="0">
                <anchor moveWithCells="1">
                  <from>
                    <xdr:col>8</xdr:col>
                    <xdr:colOff>857250</xdr:colOff>
                    <xdr:row>14</xdr:row>
                    <xdr:rowOff>219075</xdr:rowOff>
                  </from>
                  <to>
                    <xdr:col>10</xdr:col>
                    <xdr:colOff>752475</xdr:colOff>
                    <xdr:row>16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72"/>
  <sheetViews>
    <sheetView showGridLines="0" zoomScale="90" zoomScaleNormal="90" workbookViewId="0"/>
  </sheetViews>
  <sheetFormatPr defaultColWidth="8.85546875" defaultRowHeight="15.75" x14ac:dyDescent="0.25"/>
  <cols>
    <col min="1" max="1" width="2.7109375" style="73" customWidth="1"/>
    <col min="2" max="2" width="31.28515625" style="73" customWidth="1"/>
    <col min="3" max="3" width="11.7109375" style="73" customWidth="1"/>
    <col min="4" max="4" width="15.28515625" style="73" customWidth="1"/>
    <col min="5" max="5" width="13.28515625" style="73" customWidth="1"/>
    <col min="6" max="6" width="12.28515625" style="73" customWidth="1"/>
    <col min="7" max="8" width="11.140625" style="73" customWidth="1"/>
    <col min="9" max="9" width="26.42578125" style="73" customWidth="1"/>
    <col min="10" max="10" width="11.140625" style="73" customWidth="1"/>
    <col min="11" max="11" width="12.140625" style="73" customWidth="1"/>
    <col min="12" max="12" width="13.7109375" style="73" customWidth="1"/>
    <col min="13" max="13" width="13.28515625" style="73" customWidth="1"/>
    <col min="14" max="14" width="19" style="73" customWidth="1"/>
    <col min="15" max="15" width="20.7109375" style="73" customWidth="1"/>
    <col min="16" max="16" width="10.85546875" style="73" customWidth="1"/>
    <col min="17" max="17" width="11.42578125" style="73" customWidth="1"/>
    <col min="18" max="18" width="12" style="73" customWidth="1"/>
    <col min="19" max="19" width="12.140625" style="73" customWidth="1"/>
    <col min="20" max="20" width="10.5703125" style="73" customWidth="1"/>
    <col min="21" max="21" width="20" style="73" customWidth="1"/>
    <col min="22" max="16384" width="8.85546875" style="73"/>
  </cols>
  <sheetData>
    <row r="1" spans="2:24" ht="26.45" customHeight="1" x14ac:dyDescent="0.3">
      <c r="B1" s="74" t="s">
        <v>70</v>
      </c>
      <c r="C1" s="74"/>
    </row>
    <row r="3" spans="2:24" x14ac:dyDescent="0.25">
      <c r="B3" s="270" t="s">
        <v>277</v>
      </c>
      <c r="C3" s="271"/>
      <c r="D3" s="271"/>
      <c r="E3" s="271"/>
      <c r="F3" s="271"/>
      <c r="G3" s="271"/>
      <c r="I3" s="197" t="s">
        <v>72</v>
      </c>
      <c r="J3" s="197"/>
      <c r="K3" s="197" t="str">
        <f>'Data input'!C9</f>
        <v>Domestic</v>
      </c>
      <c r="L3" s="197" t="str">
        <f>'Data input'!D9</f>
        <v>Export</v>
      </c>
      <c r="M3" s="197" t="str">
        <f>'Data input'!E9</f>
        <v>Japan ox</v>
      </c>
      <c r="N3" s="225" t="str">
        <f>'Data input'!G9</f>
        <v>Units</v>
      </c>
      <c r="O3" s="205" t="s">
        <v>71</v>
      </c>
    </row>
    <row r="4" spans="2:24" x14ac:dyDescent="0.25">
      <c r="B4" s="201" t="s">
        <v>89</v>
      </c>
      <c r="C4" s="201" t="str">
        <f>'Data input'!C9</f>
        <v>Domestic</v>
      </c>
      <c r="D4" s="201" t="str">
        <f>'Data input'!D9</f>
        <v>Export</v>
      </c>
      <c r="E4" s="201" t="str">
        <f>'Data input'!E9</f>
        <v>Japan ox</v>
      </c>
      <c r="F4" s="195"/>
      <c r="G4" s="273" t="str">
        <f>'Data input'!G9</f>
        <v>Units</v>
      </c>
      <c r="I4" s="190"/>
      <c r="J4" s="191"/>
      <c r="K4" s="191"/>
      <c r="L4" s="191"/>
      <c r="M4" s="191"/>
      <c r="N4" s="191"/>
      <c r="O4" s="206"/>
    </row>
    <row r="5" spans="2:24" x14ac:dyDescent="0.25">
      <c r="B5" s="191"/>
      <c r="C5" s="191"/>
      <c r="D5" s="191"/>
      <c r="E5" s="191"/>
      <c r="F5" s="191"/>
      <c r="G5" s="191"/>
      <c r="I5" s="191"/>
      <c r="J5" s="191"/>
      <c r="K5" s="192" t="s">
        <v>73</v>
      </c>
      <c r="L5" s="191"/>
      <c r="M5" s="191"/>
      <c r="N5" s="191"/>
      <c r="O5" s="207" t="s">
        <v>74</v>
      </c>
    </row>
    <row r="6" spans="2:24" x14ac:dyDescent="0.25">
      <c r="B6" s="192" t="s">
        <v>106</v>
      </c>
      <c r="C6" s="198">
        <f>'Data input'!C10</f>
        <v>20000</v>
      </c>
      <c r="D6" s="198">
        <f>'Data input'!D10</f>
        <v>15000</v>
      </c>
      <c r="E6" s="198">
        <f>'Data input'!E10</f>
        <v>10000</v>
      </c>
      <c r="F6" s="191"/>
      <c r="G6" s="198" t="str">
        <f>'Data input'!G10</f>
        <v>head</v>
      </c>
      <c r="I6" s="191"/>
      <c r="J6" s="191"/>
      <c r="K6" s="191" t="s">
        <v>75</v>
      </c>
      <c r="L6" s="191"/>
      <c r="M6" s="191"/>
      <c r="N6" s="194" t="s">
        <v>59</v>
      </c>
      <c r="O6" s="206"/>
    </row>
    <row r="7" spans="2:24" x14ac:dyDescent="0.25">
      <c r="B7" s="192" t="s">
        <v>286</v>
      </c>
      <c r="C7" s="198">
        <f>'Data input'!C11</f>
        <v>75</v>
      </c>
      <c r="D7" s="198">
        <f>'Data input'!D11</f>
        <v>140</v>
      </c>
      <c r="E7" s="198">
        <f>'Data input'!E11</f>
        <v>250</v>
      </c>
      <c r="F7" s="191"/>
      <c r="G7" s="198" t="str">
        <f>'Data input'!G11</f>
        <v xml:space="preserve">days </v>
      </c>
      <c r="I7" s="191"/>
      <c r="J7" s="191"/>
      <c r="K7" s="191" t="s">
        <v>76</v>
      </c>
      <c r="L7" s="191"/>
      <c r="M7" s="191"/>
      <c r="N7" s="194" t="s">
        <v>59</v>
      </c>
      <c r="O7" s="206"/>
    </row>
    <row r="8" spans="2:24" x14ac:dyDescent="0.25">
      <c r="B8" s="192" t="s">
        <v>107</v>
      </c>
      <c r="C8" s="198">
        <f>'Data input'!C15</f>
        <v>9.8000000000000007</v>
      </c>
      <c r="D8" s="198">
        <f>'Data input'!D15</f>
        <v>11.7</v>
      </c>
      <c r="E8" s="198">
        <f>'Data input'!E15</f>
        <v>11</v>
      </c>
      <c r="F8" s="191"/>
      <c r="G8" s="194" t="str">
        <f>'Data input'!G15</f>
        <v>kg/head/day</v>
      </c>
      <c r="I8" s="191"/>
      <c r="J8" s="191"/>
      <c r="K8" s="191" t="s">
        <v>77</v>
      </c>
      <c r="L8" s="191"/>
      <c r="M8" s="191"/>
      <c r="N8" s="194" t="s">
        <v>59</v>
      </c>
      <c r="O8" s="206"/>
    </row>
    <row r="9" spans="2:24" x14ac:dyDescent="0.25">
      <c r="B9" s="191"/>
      <c r="C9" s="198"/>
      <c r="D9" s="198"/>
      <c r="E9" s="198"/>
      <c r="F9" s="194"/>
      <c r="G9" s="191"/>
      <c r="I9" s="191"/>
      <c r="J9" s="191"/>
      <c r="K9" s="191"/>
      <c r="L9" s="191"/>
      <c r="M9" s="191"/>
      <c r="N9" s="194"/>
      <c r="O9" s="206"/>
    </row>
    <row r="10" spans="2:24" x14ac:dyDescent="0.25">
      <c r="B10" s="191"/>
      <c r="C10" s="268" t="str">
        <f>'Data input'!C18</f>
        <v>Total grains (inc molasses)</v>
      </c>
      <c r="D10" s="268" t="str">
        <f>'Data input'!D18</f>
        <v>Other concentrates</v>
      </c>
      <c r="E10" s="268" t="str">
        <f>'Data input'!E18</f>
        <v>Grasses</v>
      </c>
      <c r="F10" s="268" t="str">
        <f>'Data input'!F18</f>
        <v>Legumes</v>
      </c>
      <c r="G10" s="191" t="s">
        <v>164</v>
      </c>
      <c r="I10" s="190"/>
      <c r="J10" s="269" t="s">
        <v>277</v>
      </c>
      <c r="K10" s="202">
        <f>IF(C6=0,0,(3.406+0.51*G35+1.736*G30+2.648*G25))</f>
        <v>10.836419388000003</v>
      </c>
      <c r="L10" s="202">
        <f>IF(D6=0,0,(3.406+0.51*G36+1.736*G31+2.648*G26))</f>
        <v>12.277010902000001</v>
      </c>
      <c r="M10" s="202">
        <f>IF(E6=0,0,(3.406+0.51*G37+1.736*G32+2.648*G27))</f>
        <v>11.746266660000002</v>
      </c>
      <c r="N10" s="194" t="s">
        <v>90</v>
      </c>
      <c r="O10" s="206"/>
    </row>
    <row r="11" spans="2:24" x14ac:dyDescent="0.25">
      <c r="B11" s="192" t="s">
        <v>78</v>
      </c>
      <c r="C11" s="191">
        <f>'Data input'!C19</f>
        <v>0.77900000000000003</v>
      </c>
      <c r="D11" s="191">
        <f>'Data input'!D19</f>
        <v>4.8000000000000001E-2</v>
      </c>
      <c r="E11" s="194">
        <f>'Data input'!E19</f>
        <v>0.13800000000000001</v>
      </c>
      <c r="F11" s="191">
        <f>'Data input'!F19</f>
        <v>3.5000000000000003E-2</v>
      </c>
      <c r="G11" s="202">
        <f>SUM(C11:F11)</f>
        <v>1</v>
      </c>
      <c r="I11" s="190"/>
      <c r="J11" s="269" t="s">
        <v>281</v>
      </c>
      <c r="K11" s="202">
        <f>IF(C49=0,0,(3.406+0.51*G78+1.736*G73+2.648*G68))</f>
        <v>0</v>
      </c>
      <c r="L11" s="202">
        <f>IF(D49=0,0,(3.406+0.51*G79+1.736*G74+2.648*G69))</f>
        <v>0</v>
      </c>
      <c r="M11" s="202">
        <f>IF(E49=0,0,(3.406+0.51*G80+1.736*G75+2.648*G70))</f>
        <v>0</v>
      </c>
      <c r="N11" s="194" t="s">
        <v>90</v>
      </c>
      <c r="O11" s="206"/>
      <c r="U11" s="324"/>
      <c r="V11" s="324"/>
      <c r="W11" s="324"/>
      <c r="X11" s="324"/>
    </row>
    <row r="12" spans="2:24" x14ac:dyDescent="0.25">
      <c r="B12" s="192" t="s">
        <v>83</v>
      </c>
      <c r="C12" s="198"/>
      <c r="D12" s="198"/>
      <c r="E12" s="198"/>
      <c r="F12" s="194"/>
      <c r="G12" s="202"/>
      <c r="I12" s="190"/>
      <c r="J12" s="269" t="s">
        <v>282</v>
      </c>
      <c r="K12" s="202">
        <f>IF(C92=0,0,(3.406+0.51*G121+1.736*G116+2.648*G111))</f>
        <v>0</v>
      </c>
      <c r="L12" s="202">
        <f>IF(D92=0,0,(3.406+0.51*G122+1.736*G117+2.648*G112))</f>
        <v>0</v>
      </c>
      <c r="M12" s="202">
        <f>IF(E92=0,0,(3.406+0.51*G123+1.736*G118+2.648*G113))</f>
        <v>0</v>
      </c>
      <c r="N12" s="194" t="s">
        <v>90</v>
      </c>
      <c r="O12" s="206"/>
      <c r="U12" s="77"/>
      <c r="V12" s="77"/>
      <c r="W12" s="77"/>
      <c r="X12" s="77"/>
    </row>
    <row r="13" spans="2:24" x14ac:dyDescent="0.25">
      <c r="B13" s="194" t="s">
        <v>84</v>
      </c>
      <c r="C13" s="194">
        <f>'Data input'!C21</f>
        <v>7.0000000000000007E-2</v>
      </c>
      <c r="D13" s="194">
        <f>'Data input'!D21</f>
        <v>0.19</v>
      </c>
      <c r="E13" s="194">
        <f>'Data input'!E21</f>
        <v>0.31</v>
      </c>
      <c r="F13" s="194">
        <f>'Data input'!F21</f>
        <v>0.36</v>
      </c>
      <c r="G13" s="202">
        <f t="shared" ref="G13:G42" si="0">SUM(C13:F13)</f>
        <v>0.93</v>
      </c>
      <c r="I13" s="190"/>
      <c r="J13" s="269" t="s">
        <v>283</v>
      </c>
      <c r="K13" s="202">
        <f>IF(C135=0,0,(3.406+0.51*G164+1.736*G159+2.648*G154))</f>
        <v>0</v>
      </c>
      <c r="L13" s="202">
        <f>IF(D135=0,0,(3.406+0.51*G165+1.736*G160+2.648*G155))</f>
        <v>0</v>
      </c>
      <c r="M13" s="202">
        <f>IF(E135=0,0,(3.406+0.51*G166+1.736*G161+2.648*G156))</f>
        <v>0</v>
      </c>
      <c r="N13" s="194" t="s">
        <v>90</v>
      </c>
      <c r="O13" s="206"/>
      <c r="U13" s="77"/>
      <c r="V13" s="77"/>
      <c r="W13" s="77"/>
      <c r="X13" s="77"/>
    </row>
    <row r="14" spans="2:24" x14ac:dyDescent="0.25">
      <c r="B14" s="194" t="s">
        <v>85</v>
      </c>
      <c r="C14" s="194">
        <f>'Data input'!C22</f>
        <v>0.04</v>
      </c>
      <c r="D14" s="194">
        <f>'Data input'!D22</f>
        <v>0.11</v>
      </c>
      <c r="E14" s="194">
        <f>'Data input'!E22</f>
        <v>0.31</v>
      </c>
      <c r="F14" s="194">
        <f>'Data input'!F22</f>
        <v>0.2</v>
      </c>
      <c r="G14" s="202">
        <f t="shared" si="0"/>
        <v>0.65999999999999992</v>
      </c>
      <c r="I14" s="191"/>
      <c r="J14" s="191"/>
      <c r="K14" s="191"/>
      <c r="L14" s="191"/>
      <c r="M14" s="191"/>
      <c r="N14" s="194"/>
      <c r="O14" s="206"/>
      <c r="U14" s="75"/>
    </row>
    <row r="15" spans="2:24" x14ac:dyDescent="0.25">
      <c r="B15" s="194" t="s">
        <v>86</v>
      </c>
      <c r="C15" s="194">
        <f>'Data input'!C23</f>
        <v>0.68</v>
      </c>
      <c r="D15" s="194">
        <f>'Data input'!D23</f>
        <v>0.19</v>
      </c>
      <c r="E15" s="194">
        <f>'Data input'!E23</f>
        <v>0.21</v>
      </c>
      <c r="F15" s="194">
        <f>'Data input'!F23</f>
        <v>0.21</v>
      </c>
      <c r="G15" s="202">
        <f t="shared" si="0"/>
        <v>1.29</v>
      </c>
      <c r="I15" s="191"/>
      <c r="J15" s="191"/>
      <c r="K15" s="191"/>
      <c r="L15" s="191"/>
      <c r="M15" s="191"/>
      <c r="N15" s="194"/>
      <c r="O15" s="206"/>
    </row>
    <row r="16" spans="2:24" x14ac:dyDescent="0.25">
      <c r="B16" s="194" t="s">
        <v>87</v>
      </c>
      <c r="C16" s="194">
        <f>'Data input'!C24</f>
        <v>0.02</v>
      </c>
      <c r="D16" s="194">
        <f>'Data input'!D24</f>
        <v>0.05</v>
      </c>
      <c r="E16" s="194">
        <f>'Data input'!E24</f>
        <v>2.5999999999999999E-2</v>
      </c>
      <c r="F16" s="194">
        <f>'Data input'!F24</f>
        <v>3.2000000000000001E-2</v>
      </c>
      <c r="G16" s="202">
        <f t="shared" si="0"/>
        <v>0.128</v>
      </c>
      <c r="I16" s="192" t="s">
        <v>91</v>
      </c>
      <c r="J16" s="191"/>
      <c r="K16" s="192" t="s">
        <v>92</v>
      </c>
      <c r="L16" s="191"/>
      <c r="M16" s="191"/>
      <c r="N16" s="194"/>
      <c r="O16" s="207" t="s">
        <v>93</v>
      </c>
    </row>
    <row r="17" spans="2:25" x14ac:dyDescent="0.25">
      <c r="B17" s="192"/>
      <c r="C17" s="194"/>
      <c r="D17" s="194"/>
      <c r="E17" s="194"/>
      <c r="F17" s="194"/>
      <c r="G17" s="202"/>
      <c r="I17" s="191"/>
      <c r="J17" s="191"/>
      <c r="K17" s="191"/>
      <c r="L17" s="191" t="s">
        <v>94</v>
      </c>
      <c r="M17" s="191">
        <v>55.22</v>
      </c>
      <c r="N17" s="194" t="s">
        <v>95</v>
      </c>
      <c r="O17" s="206"/>
    </row>
    <row r="18" spans="2:25" x14ac:dyDescent="0.25">
      <c r="B18" s="192"/>
      <c r="C18" s="198"/>
      <c r="D18" s="198"/>
      <c r="E18" s="198"/>
      <c r="F18" s="198"/>
      <c r="G18" s="202"/>
      <c r="I18" s="190"/>
      <c r="J18" s="269" t="s">
        <v>277</v>
      </c>
      <c r="K18" s="202">
        <f>K10/$M$17</f>
        <v>0.19624084367982622</v>
      </c>
      <c r="L18" s="202">
        <f>L10/$M$17</f>
        <v>0.22232906378123871</v>
      </c>
      <c r="M18" s="202">
        <f t="shared" ref="M18" si="1">M10/$M$17</f>
        <v>0.21271761427019201</v>
      </c>
      <c r="N18" s="194" t="s">
        <v>96</v>
      </c>
      <c r="O18" s="206"/>
    </row>
    <row r="19" spans="2:25" x14ac:dyDescent="0.25">
      <c r="B19" s="192" t="s">
        <v>88</v>
      </c>
      <c r="C19" s="198"/>
      <c r="D19" s="198"/>
      <c r="E19" s="198"/>
      <c r="F19" s="198"/>
      <c r="G19" s="202"/>
      <c r="I19" s="190"/>
      <c r="J19" s="269" t="s">
        <v>281</v>
      </c>
      <c r="K19" s="202">
        <f t="shared" ref="K19:M19" si="2">K11/$M$17</f>
        <v>0</v>
      </c>
      <c r="L19" s="202">
        <f t="shared" si="2"/>
        <v>0</v>
      </c>
      <c r="M19" s="202">
        <f t="shared" si="2"/>
        <v>0</v>
      </c>
      <c r="N19" s="194" t="s">
        <v>96</v>
      </c>
      <c r="O19" s="206"/>
    </row>
    <row r="20" spans="2:25" x14ac:dyDescent="0.25">
      <c r="B20" s="266" t="s">
        <v>67</v>
      </c>
      <c r="C20" s="198">
        <f>$C$8*C11</f>
        <v>7.6342000000000008</v>
      </c>
      <c r="D20" s="198">
        <f>$C$8*D11</f>
        <v>0.47040000000000004</v>
      </c>
      <c r="E20" s="198">
        <f>$C$8*E11</f>
        <v>1.3524000000000003</v>
      </c>
      <c r="F20" s="198">
        <f>$C$8*F11</f>
        <v>0.34300000000000008</v>
      </c>
      <c r="G20" s="202">
        <f t="shared" si="0"/>
        <v>9.8000000000000007</v>
      </c>
      <c r="I20" s="190"/>
      <c r="J20" s="269" t="s">
        <v>282</v>
      </c>
      <c r="K20" s="202">
        <f t="shared" ref="K20:M20" si="3">K12/$M$17</f>
        <v>0</v>
      </c>
      <c r="L20" s="202">
        <f>L12/$M$17</f>
        <v>0</v>
      </c>
      <c r="M20" s="202">
        <f t="shared" si="3"/>
        <v>0</v>
      </c>
      <c r="N20" s="194" t="s">
        <v>96</v>
      </c>
      <c r="O20" s="206"/>
    </row>
    <row r="21" spans="2:25" x14ac:dyDescent="0.25">
      <c r="B21" s="266" t="s">
        <v>68</v>
      </c>
      <c r="C21" s="198">
        <f>$D$8*C11</f>
        <v>9.1143000000000001</v>
      </c>
      <c r="D21" s="198">
        <f>$D$8*D11</f>
        <v>0.56159999999999999</v>
      </c>
      <c r="E21" s="198">
        <f>$D$8*E11</f>
        <v>1.6146</v>
      </c>
      <c r="F21" s="198">
        <f>$D$8*F11</f>
        <v>0.40950000000000003</v>
      </c>
      <c r="G21" s="202">
        <f t="shared" si="0"/>
        <v>11.7</v>
      </c>
      <c r="I21" s="190"/>
      <c r="J21" s="269" t="s">
        <v>283</v>
      </c>
      <c r="K21" s="202">
        <f t="shared" ref="K21:L21" si="4">K13/$M$17</f>
        <v>0</v>
      </c>
      <c r="L21" s="202">
        <f t="shared" si="4"/>
        <v>0</v>
      </c>
      <c r="M21" s="202">
        <f>M13/$M$17</f>
        <v>0</v>
      </c>
      <c r="N21" s="194" t="s">
        <v>96</v>
      </c>
      <c r="O21" s="206"/>
      <c r="V21" s="76"/>
      <c r="W21" s="76"/>
      <c r="X21" s="76"/>
      <c r="Y21" s="76"/>
    </row>
    <row r="22" spans="2:25" x14ac:dyDescent="0.25">
      <c r="B22" s="266" t="s">
        <v>69</v>
      </c>
      <c r="C22" s="198">
        <f>$E$8*C11</f>
        <v>8.5690000000000008</v>
      </c>
      <c r="D22" s="198">
        <f>$E$8*D11</f>
        <v>0.52800000000000002</v>
      </c>
      <c r="E22" s="198">
        <f>$E$8*E11</f>
        <v>1.5180000000000002</v>
      </c>
      <c r="F22" s="198">
        <f>$E$8*F11</f>
        <v>0.38500000000000001</v>
      </c>
      <c r="G22" s="202">
        <f t="shared" si="0"/>
        <v>11.000000000000002</v>
      </c>
      <c r="I22" s="191"/>
      <c r="J22" s="191"/>
      <c r="K22" s="191"/>
      <c r="L22" s="191"/>
      <c r="M22" s="191"/>
      <c r="N22" s="194"/>
      <c r="O22" s="206"/>
      <c r="V22" s="76"/>
      <c r="W22" s="76"/>
      <c r="X22" s="76"/>
      <c r="Y22" s="76"/>
    </row>
    <row r="23" spans="2:25" x14ac:dyDescent="0.25">
      <c r="B23" s="191"/>
      <c r="C23" s="198"/>
      <c r="D23" s="198"/>
      <c r="E23" s="198"/>
      <c r="F23" s="198"/>
      <c r="G23" s="202"/>
      <c r="I23" s="191"/>
      <c r="J23" s="191"/>
      <c r="K23" s="191"/>
      <c r="L23" s="191"/>
      <c r="M23" s="191"/>
      <c r="N23" s="194"/>
      <c r="O23" s="206"/>
      <c r="V23" s="76"/>
      <c r="W23" s="76"/>
      <c r="X23" s="76"/>
      <c r="Y23" s="76"/>
    </row>
    <row r="24" spans="2:25" x14ac:dyDescent="0.25">
      <c r="B24" s="192" t="s">
        <v>263</v>
      </c>
      <c r="C24" s="198"/>
      <c r="D24" s="198"/>
      <c r="E24" s="198"/>
      <c r="F24" s="198"/>
      <c r="G24" s="202"/>
      <c r="I24" s="192" t="s">
        <v>267</v>
      </c>
      <c r="J24" s="191"/>
      <c r="K24" s="192" t="s">
        <v>284</v>
      </c>
      <c r="L24" s="191"/>
      <c r="M24" s="191"/>
      <c r="N24" s="194"/>
      <c r="O24" s="207" t="s">
        <v>97</v>
      </c>
      <c r="V24" s="76"/>
      <c r="W24" s="76"/>
      <c r="X24" s="76"/>
      <c r="Y24" s="76"/>
    </row>
    <row r="25" spans="2:25" x14ac:dyDescent="0.25">
      <c r="B25" s="266" t="s">
        <v>67</v>
      </c>
      <c r="C25" s="198">
        <f>C20*C13</f>
        <v>0.53439400000000015</v>
      </c>
      <c r="D25" s="198">
        <f>D20*D13</f>
        <v>8.9376000000000011E-2</v>
      </c>
      <c r="E25" s="198">
        <f>E20*E13</f>
        <v>0.41924400000000006</v>
      </c>
      <c r="F25" s="198">
        <f>F20*F13</f>
        <v>0.12348000000000002</v>
      </c>
      <c r="G25" s="202">
        <f t="shared" si="0"/>
        <v>1.1664940000000004</v>
      </c>
      <c r="I25" s="191"/>
      <c r="J25" s="190"/>
      <c r="K25" s="190" t="s">
        <v>285</v>
      </c>
      <c r="L25" s="190"/>
      <c r="M25" s="190"/>
      <c r="N25" s="190"/>
      <c r="O25" s="206"/>
      <c r="V25" s="76"/>
      <c r="W25" s="76"/>
      <c r="X25" s="76"/>
      <c r="Y25" s="76"/>
    </row>
    <row r="26" spans="2:25" x14ac:dyDescent="0.25">
      <c r="B26" s="266" t="s">
        <v>68</v>
      </c>
      <c r="C26" s="198">
        <f>C21*C13</f>
        <v>0.63800100000000004</v>
      </c>
      <c r="D26" s="198">
        <f>D21*D13</f>
        <v>0.10670399999999999</v>
      </c>
      <c r="E26" s="198">
        <f>E21*E13</f>
        <v>0.50052600000000003</v>
      </c>
      <c r="F26" s="198">
        <f>F21*F13</f>
        <v>0.14742</v>
      </c>
      <c r="G26" s="202">
        <f t="shared" si="0"/>
        <v>1.3926509999999999</v>
      </c>
      <c r="I26" s="191"/>
      <c r="J26" s="269" t="s">
        <v>277</v>
      </c>
      <c r="K26" s="272">
        <f>C7*C6*K18*10^-6</f>
        <v>0.29436126551973929</v>
      </c>
      <c r="L26" s="272">
        <f t="shared" ref="L26:M26" si="5">D7*D6*L18*10^-6</f>
        <v>0.46689103394060127</v>
      </c>
      <c r="M26" s="272">
        <f t="shared" si="5"/>
        <v>0.53179403567548</v>
      </c>
      <c r="N26" s="194" t="s">
        <v>287</v>
      </c>
      <c r="O26" s="206"/>
    </row>
    <row r="27" spans="2:25" x14ac:dyDescent="0.25">
      <c r="B27" s="266" t="s">
        <v>69</v>
      </c>
      <c r="C27" s="198">
        <f>C22*C13</f>
        <v>0.59983000000000009</v>
      </c>
      <c r="D27" s="198">
        <f>D22*D13</f>
        <v>0.10032000000000001</v>
      </c>
      <c r="E27" s="198">
        <f>E22*E13</f>
        <v>0.47058000000000005</v>
      </c>
      <c r="F27" s="198">
        <f>F22*F13</f>
        <v>0.1386</v>
      </c>
      <c r="G27" s="202">
        <f t="shared" si="0"/>
        <v>1.3093300000000001</v>
      </c>
      <c r="I27" s="191"/>
      <c r="J27" s="269" t="s">
        <v>281</v>
      </c>
      <c r="K27" s="272">
        <f>C50*C49*K19*10^-6</f>
        <v>0</v>
      </c>
      <c r="L27" s="272">
        <f t="shared" ref="L27:M27" si="6">D50*D49*L19*10^-6</f>
        <v>0</v>
      </c>
      <c r="M27" s="272">
        <f t="shared" si="6"/>
        <v>0</v>
      </c>
      <c r="N27" s="194" t="s">
        <v>287</v>
      </c>
      <c r="O27" s="206"/>
    </row>
    <row r="28" spans="2:25" x14ac:dyDescent="0.25">
      <c r="B28" s="191"/>
      <c r="C28" s="198"/>
      <c r="D28" s="198"/>
      <c r="E28" s="198"/>
      <c r="F28" s="198"/>
      <c r="G28" s="202"/>
      <c r="I28" s="191"/>
      <c r="J28" s="269" t="s">
        <v>282</v>
      </c>
      <c r="K28" s="272">
        <f>C93*C92*K20*10^-6</f>
        <v>0</v>
      </c>
      <c r="L28" s="272">
        <f t="shared" ref="L28:M28" si="7">D93*D92*L20*10^-6</f>
        <v>0</v>
      </c>
      <c r="M28" s="272">
        <f t="shared" si="7"/>
        <v>0</v>
      </c>
      <c r="N28" s="194" t="s">
        <v>287</v>
      </c>
      <c r="O28" s="206"/>
    </row>
    <row r="29" spans="2:25" x14ac:dyDescent="0.25">
      <c r="B29" s="192" t="s">
        <v>264</v>
      </c>
      <c r="C29" s="198"/>
      <c r="D29" s="198"/>
      <c r="E29" s="198"/>
      <c r="F29" s="198"/>
      <c r="G29" s="202"/>
      <c r="I29" s="191"/>
      <c r="J29" s="269" t="s">
        <v>283</v>
      </c>
      <c r="K29" s="272">
        <f>C136*C135*K21*10^-6</f>
        <v>0</v>
      </c>
      <c r="L29" s="272">
        <f t="shared" ref="L29" si="8">D136*D135*L21*10^-6</f>
        <v>0</v>
      </c>
      <c r="M29" s="272">
        <f>E136*E135*M21*10^-6</f>
        <v>0</v>
      </c>
      <c r="N29" s="194" t="s">
        <v>287</v>
      </c>
      <c r="O29" s="206"/>
    </row>
    <row r="30" spans="2:25" x14ac:dyDescent="0.25">
      <c r="B30" s="266" t="s">
        <v>67</v>
      </c>
      <c r="C30" s="198">
        <f>C20*C14</f>
        <v>0.30536800000000003</v>
      </c>
      <c r="D30" s="198">
        <f>D20*D14</f>
        <v>5.1744000000000005E-2</v>
      </c>
      <c r="E30" s="198">
        <f>E20*E14</f>
        <v>0.41924400000000006</v>
      </c>
      <c r="F30" s="198">
        <f>F20*F14</f>
        <v>6.8600000000000022E-2</v>
      </c>
      <c r="G30" s="202">
        <f t="shared" si="0"/>
        <v>0.84495600000000004</v>
      </c>
      <c r="I30" s="191"/>
      <c r="J30" s="192"/>
      <c r="K30" s="191"/>
      <c r="L30" s="191"/>
      <c r="M30" s="191"/>
      <c r="N30" s="194"/>
      <c r="O30" s="206"/>
    </row>
    <row r="31" spans="2:25" x14ac:dyDescent="0.25">
      <c r="B31" s="266" t="s">
        <v>68</v>
      </c>
      <c r="C31" s="198">
        <f>C21*C14</f>
        <v>0.36457200000000001</v>
      </c>
      <c r="D31" s="198">
        <f>D21*D14</f>
        <v>6.1775999999999998E-2</v>
      </c>
      <c r="E31" s="198">
        <f>E21*E14</f>
        <v>0.50052600000000003</v>
      </c>
      <c r="F31" s="198">
        <f>F21*F14</f>
        <v>8.1900000000000014E-2</v>
      </c>
      <c r="G31" s="202">
        <f t="shared" si="0"/>
        <v>1.0087740000000001</v>
      </c>
      <c r="I31" s="192" t="s">
        <v>98</v>
      </c>
      <c r="J31" s="203">
        <f>SUM(K26:M29)</f>
        <v>1.2930463351358206</v>
      </c>
      <c r="K31" s="191"/>
      <c r="L31" s="191"/>
      <c r="M31" s="191"/>
      <c r="N31" s="194" t="s">
        <v>123</v>
      </c>
      <c r="O31" s="206"/>
    </row>
    <row r="32" spans="2:25" x14ac:dyDescent="0.25">
      <c r="B32" s="266" t="s">
        <v>69</v>
      </c>
      <c r="C32" s="198">
        <f>C22*C14</f>
        <v>0.34276000000000006</v>
      </c>
      <c r="D32" s="198">
        <f>D22*D14</f>
        <v>5.808E-2</v>
      </c>
      <c r="E32" s="198">
        <f>E22*E14</f>
        <v>0.47058000000000005</v>
      </c>
      <c r="F32" s="198">
        <f>F22*F14</f>
        <v>7.7000000000000013E-2</v>
      </c>
      <c r="G32" s="202">
        <f t="shared" si="0"/>
        <v>0.94842000000000004</v>
      </c>
      <c r="I32" s="192" t="s">
        <v>98</v>
      </c>
      <c r="J32" s="203">
        <f>J31*21</f>
        <v>27.153973037852232</v>
      </c>
      <c r="K32" s="191"/>
      <c r="L32" s="191"/>
      <c r="M32" s="191"/>
      <c r="N32" s="194" t="s">
        <v>165</v>
      </c>
      <c r="O32" s="206"/>
    </row>
    <row r="33" spans="2:15" x14ac:dyDescent="0.25">
      <c r="B33" s="191"/>
      <c r="C33" s="198"/>
      <c r="D33" s="198"/>
      <c r="E33" s="198"/>
      <c r="F33" s="198"/>
      <c r="G33" s="202"/>
      <c r="I33" s="201" t="s">
        <v>98</v>
      </c>
      <c r="J33" s="204">
        <f>J32*10^3</f>
        <v>27153.973037852233</v>
      </c>
      <c r="K33" s="195"/>
      <c r="L33" s="195"/>
      <c r="M33" s="195"/>
      <c r="N33" s="226" t="s">
        <v>124</v>
      </c>
      <c r="O33" s="208"/>
    </row>
    <row r="34" spans="2:15" ht="17.45" customHeight="1" x14ac:dyDescent="0.25">
      <c r="B34" s="192" t="s">
        <v>265</v>
      </c>
      <c r="C34" s="200"/>
      <c r="D34" s="200"/>
      <c r="E34" s="200"/>
      <c r="F34" s="200"/>
      <c r="G34" s="202"/>
    </row>
    <row r="35" spans="2:15" x14ac:dyDescent="0.25">
      <c r="B35" s="266" t="s">
        <v>67</v>
      </c>
      <c r="C35" s="191">
        <f>C20*C15</f>
        <v>5.191256000000001</v>
      </c>
      <c r="D35" s="191">
        <f>D20*D15</f>
        <v>8.9376000000000011E-2</v>
      </c>
      <c r="E35" s="191">
        <f>E20*E15</f>
        <v>0.28400400000000003</v>
      </c>
      <c r="F35" s="191">
        <f>F20*F15</f>
        <v>7.2030000000000011E-2</v>
      </c>
      <c r="G35" s="202">
        <f t="shared" si="0"/>
        <v>5.6366660000000008</v>
      </c>
    </row>
    <row r="36" spans="2:15" x14ac:dyDescent="0.25">
      <c r="B36" s="266" t="s">
        <v>68</v>
      </c>
      <c r="C36" s="191">
        <f>C21*C15</f>
        <v>6.1977240000000009</v>
      </c>
      <c r="D36" s="191">
        <f>D21*D15</f>
        <v>0.10670399999999999</v>
      </c>
      <c r="E36" s="191">
        <f>E21*E15</f>
        <v>0.33906599999999998</v>
      </c>
      <c r="F36" s="191">
        <f>F21*F15</f>
        <v>8.5995000000000002E-2</v>
      </c>
      <c r="G36" s="202">
        <f t="shared" si="0"/>
        <v>6.7294890000000001</v>
      </c>
    </row>
    <row r="37" spans="2:15" x14ac:dyDescent="0.25">
      <c r="B37" s="266" t="s">
        <v>69</v>
      </c>
      <c r="C37" s="267">
        <f>C22*C15</f>
        <v>5.8269200000000012</v>
      </c>
      <c r="D37" s="267">
        <f>D22*D15</f>
        <v>0.10032000000000001</v>
      </c>
      <c r="E37" s="267">
        <f>E22*E15</f>
        <v>0.31878000000000006</v>
      </c>
      <c r="F37" s="267">
        <f>F22*F15</f>
        <v>8.0850000000000005E-2</v>
      </c>
      <c r="G37" s="202">
        <f t="shared" si="0"/>
        <v>6.3268700000000013</v>
      </c>
    </row>
    <row r="38" spans="2:15" x14ac:dyDescent="0.25">
      <c r="B38" s="191"/>
      <c r="C38" s="193"/>
      <c r="D38" s="198"/>
      <c r="E38" s="198"/>
      <c r="F38" s="198"/>
      <c r="G38" s="202"/>
    </row>
    <row r="39" spans="2:15" x14ac:dyDescent="0.25">
      <c r="B39" s="192" t="s">
        <v>266</v>
      </c>
      <c r="C39" s="193"/>
      <c r="D39" s="198"/>
      <c r="E39" s="198"/>
      <c r="F39" s="198"/>
      <c r="G39" s="202"/>
    </row>
    <row r="40" spans="2:15" x14ac:dyDescent="0.25">
      <c r="B40" s="266" t="s">
        <v>67</v>
      </c>
      <c r="C40" s="267">
        <f>C20*C16</f>
        <v>0.15268400000000001</v>
      </c>
      <c r="D40" s="267">
        <f>D20*D16</f>
        <v>2.3520000000000003E-2</v>
      </c>
      <c r="E40" s="267">
        <f>E20*E16</f>
        <v>3.5162400000000003E-2</v>
      </c>
      <c r="F40" s="267">
        <f>F20*F16</f>
        <v>1.0976000000000003E-2</v>
      </c>
      <c r="G40" s="202">
        <f t="shared" si="0"/>
        <v>0.22234240000000005</v>
      </c>
    </row>
    <row r="41" spans="2:15" x14ac:dyDescent="0.25">
      <c r="B41" s="266" t="s">
        <v>68</v>
      </c>
      <c r="C41" s="194">
        <f>C21*C16</f>
        <v>0.182286</v>
      </c>
      <c r="D41" s="194">
        <f>D21*D16</f>
        <v>2.8080000000000001E-2</v>
      </c>
      <c r="E41" s="194">
        <f>E21*E16</f>
        <v>4.1979599999999999E-2</v>
      </c>
      <c r="F41" s="194">
        <f>F21*F16</f>
        <v>1.3104000000000001E-2</v>
      </c>
      <c r="G41" s="202">
        <f t="shared" si="0"/>
        <v>0.26544960000000001</v>
      </c>
    </row>
    <row r="42" spans="2:15" x14ac:dyDescent="0.25">
      <c r="B42" s="266" t="s">
        <v>69</v>
      </c>
      <c r="C42" s="267">
        <f>C22*C16</f>
        <v>0.17138000000000003</v>
      </c>
      <c r="D42" s="267">
        <f>D22*D16</f>
        <v>2.6400000000000003E-2</v>
      </c>
      <c r="E42" s="267">
        <f>E22*E16</f>
        <v>3.9468000000000003E-2</v>
      </c>
      <c r="F42" s="267">
        <f>F22*F16</f>
        <v>1.2320000000000001E-2</v>
      </c>
      <c r="G42" s="202">
        <f t="shared" si="0"/>
        <v>0.24956800000000004</v>
      </c>
    </row>
    <row r="43" spans="2:15" x14ac:dyDescent="0.25">
      <c r="B43" s="195"/>
      <c r="C43" s="196"/>
      <c r="D43" s="199"/>
      <c r="E43" s="199"/>
      <c r="F43" s="199"/>
      <c r="G43" s="199"/>
    </row>
    <row r="46" spans="2:15" x14ac:dyDescent="0.25">
      <c r="B46" s="270" t="s">
        <v>281</v>
      </c>
      <c r="C46" s="271"/>
      <c r="D46" s="271"/>
      <c r="E46" s="271"/>
      <c r="F46" s="271"/>
      <c r="G46" s="271"/>
    </row>
    <row r="47" spans="2:15" x14ac:dyDescent="0.25">
      <c r="B47" s="201" t="s">
        <v>89</v>
      </c>
      <c r="C47" s="201" t="str">
        <f>'Data input'!C28</f>
        <v>Domestic</v>
      </c>
      <c r="D47" s="201" t="str">
        <f>'Data input'!D28</f>
        <v>Export</v>
      </c>
      <c r="E47" s="201" t="str">
        <f>'Data input'!E28</f>
        <v>Japan ox</v>
      </c>
      <c r="F47" s="201"/>
      <c r="G47" s="201" t="str">
        <f>'Data input'!G28</f>
        <v>Units</v>
      </c>
    </row>
    <row r="48" spans="2:15" x14ac:dyDescent="0.25">
      <c r="B48" s="191"/>
      <c r="C48" s="191"/>
      <c r="D48" s="191"/>
      <c r="E48" s="191"/>
      <c r="F48" s="191"/>
      <c r="G48" s="191"/>
    </row>
    <row r="49" spans="2:7" x14ac:dyDescent="0.25">
      <c r="B49" s="192" t="s">
        <v>106</v>
      </c>
      <c r="C49" s="198">
        <f>'Data input'!C29</f>
        <v>0</v>
      </c>
      <c r="D49" s="198">
        <f>'Data input'!D29</f>
        <v>0</v>
      </c>
      <c r="E49" s="198">
        <f>'Data input'!E29</f>
        <v>0</v>
      </c>
      <c r="F49" s="198"/>
      <c r="G49" s="198" t="str">
        <f>'Data input'!G29</f>
        <v>head</v>
      </c>
    </row>
    <row r="50" spans="2:7" x14ac:dyDescent="0.25">
      <c r="B50" s="192" t="s">
        <v>286</v>
      </c>
      <c r="C50" s="198">
        <f>'Data input'!C30</f>
        <v>0</v>
      </c>
      <c r="D50" s="198">
        <f>'Data input'!D30</f>
        <v>0</v>
      </c>
      <c r="E50" s="198">
        <f>'Data input'!E30</f>
        <v>0</v>
      </c>
      <c r="F50" s="198"/>
      <c r="G50" s="198" t="str">
        <f>'Data input'!G30</f>
        <v xml:space="preserve">days </v>
      </c>
    </row>
    <row r="51" spans="2:7" x14ac:dyDescent="0.25">
      <c r="B51" s="192" t="s">
        <v>107</v>
      </c>
      <c r="C51" s="198">
        <f>'Data input'!C34</f>
        <v>0</v>
      </c>
      <c r="D51" s="198">
        <f>'Data input'!D34</f>
        <v>0</v>
      </c>
      <c r="E51" s="198">
        <f>'Data input'!E34</f>
        <v>0</v>
      </c>
      <c r="F51" s="198"/>
      <c r="G51" s="198" t="str">
        <f>'Data input'!G34</f>
        <v>kg/head/day</v>
      </c>
    </row>
    <row r="52" spans="2:7" x14ac:dyDescent="0.25">
      <c r="B52" s="191"/>
      <c r="C52" s="198"/>
      <c r="D52" s="198"/>
      <c r="E52" s="198"/>
      <c r="F52" s="194"/>
      <c r="G52" s="191"/>
    </row>
    <row r="53" spans="2:7" x14ac:dyDescent="0.25">
      <c r="B53" s="191"/>
      <c r="C53" s="268" t="s">
        <v>79</v>
      </c>
      <c r="D53" s="268" t="s">
        <v>80</v>
      </c>
      <c r="E53" s="268" t="s">
        <v>81</v>
      </c>
      <c r="F53" s="268" t="s">
        <v>82</v>
      </c>
      <c r="G53" s="191" t="s">
        <v>164</v>
      </c>
    </row>
    <row r="54" spans="2:7" x14ac:dyDescent="0.25">
      <c r="B54" s="192" t="s">
        <v>78</v>
      </c>
      <c r="C54" s="191">
        <f>'Data input'!C38</f>
        <v>0</v>
      </c>
      <c r="D54" s="191">
        <f>'Data input'!D38</f>
        <v>0</v>
      </c>
      <c r="E54" s="191">
        <f>'Data input'!E38</f>
        <v>0</v>
      </c>
      <c r="F54" s="191">
        <f>'Data input'!F38</f>
        <v>0</v>
      </c>
      <c r="G54" s="202">
        <f>SUM(C54:F54)</f>
        <v>0</v>
      </c>
    </row>
    <row r="55" spans="2:7" x14ac:dyDescent="0.25">
      <c r="B55" s="192" t="s">
        <v>83</v>
      </c>
      <c r="C55" s="198"/>
      <c r="D55" s="198"/>
      <c r="E55" s="198"/>
      <c r="F55" s="194"/>
      <c r="G55" s="202"/>
    </row>
    <row r="56" spans="2:7" x14ac:dyDescent="0.25">
      <c r="B56" s="194" t="s">
        <v>84</v>
      </c>
      <c r="C56" s="194">
        <f>'Data input'!C40</f>
        <v>0</v>
      </c>
      <c r="D56" s="194">
        <f>'Data input'!D40</f>
        <v>0</v>
      </c>
      <c r="E56" s="194">
        <f>'Data input'!E40</f>
        <v>0</v>
      </c>
      <c r="F56" s="194">
        <f>'Data input'!F40</f>
        <v>0</v>
      </c>
      <c r="G56" s="202">
        <f t="shared" ref="G56:G59" si="9">SUM(C56:F56)</f>
        <v>0</v>
      </c>
    </row>
    <row r="57" spans="2:7" x14ac:dyDescent="0.25">
      <c r="B57" s="194" t="s">
        <v>85</v>
      </c>
      <c r="C57" s="194">
        <f>'Data input'!C41</f>
        <v>0</v>
      </c>
      <c r="D57" s="194">
        <f>'Data input'!D41</f>
        <v>0</v>
      </c>
      <c r="E57" s="194">
        <f>'Data input'!E41</f>
        <v>0</v>
      </c>
      <c r="F57" s="194">
        <f>'Data input'!F41</f>
        <v>0</v>
      </c>
      <c r="G57" s="202">
        <f t="shared" si="9"/>
        <v>0</v>
      </c>
    </row>
    <row r="58" spans="2:7" x14ac:dyDescent="0.25">
      <c r="B58" s="194" t="s">
        <v>86</v>
      </c>
      <c r="C58" s="194">
        <f>'Data input'!C42</f>
        <v>0</v>
      </c>
      <c r="D58" s="194">
        <f>'Data input'!D42</f>
        <v>0</v>
      </c>
      <c r="E58" s="194">
        <f>'Data input'!E42</f>
        <v>0</v>
      </c>
      <c r="F58" s="194">
        <f>'Data input'!F42</f>
        <v>0</v>
      </c>
      <c r="G58" s="202">
        <f t="shared" si="9"/>
        <v>0</v>
      </c>
    </row>
    <row r="59" spans="2:7" x14ac:dyDescent="0.25">
      <c r="B59" s="194" t="s">
        <v>87</v>
      </c>
      <c r="C59" s="194">
        <f>'Data input'!C43</f>
        <v>0</v>
      </c>
      <c r="D59" s="194">
        <f>'Data input'!D43</f>
        <v>0</v>
      </c>
      <c r="E59" s="194">
        <f>'Data input'!E43</f>
        <v>0</v>
      </c>
      <c r="F59" s="194">
        <f>'Data input'!F43</f>
        <v>0</v>
      </c>
      <c r="G59" s="202">
        <f t="shared" si="9"/>
        <v>0</v>
      </c>
    </row>
    <row r="60" spans="2:7" x14ac:dyDescent="0.25">
      <c r="B60" s="192"/>
      <c r="C60" s="194"/>
      <c r="D60" s="194"/>
      <c r="E60" s="194"/>
      <c r="F60" s="194"/>
      <c r="G60" s="202"/>
    </row>
    <row r="61" spans="2:7" x14ac:dyDescent="0.25">
      <c r="B61" s="192"/>
      <c r="C61" s="198"/>
      <c r="D61" s="198"/>
      <c r="E61" s="198"/>
      <c r="F61" s="198"/>
      <c r="G61" s="202"/>
    </row>
    <row r="62" spans="2:7" x14ac:dyDescent="0.25">
      <c r="B62" s="192" t="s">
        <v>88</v>
      </c>
      <c r="C62" s="198"/>
      <c r="D62" s="198"/>
      <c r="E62" s="198"/>
      <c r="F62" s="198"/>
      <c r="G62" s="202"/>
    </row>
    <row r="63" spans="2:7" x14ac:dyDescent="0.25">
      <c r="B63" s="266" t="s">
        <v>67</v>
      </c>
      <c r="C63" s="198">
        <f>$C$51*C54</f>
        <v>0</v>
      </c>
      <c r="D63" s="198">
        <f>$C$51*D54</f>
        <v>0</v>
      </c>
      <c r="E63" s="198">
        <f>$C$51*E54</f>
        <v>0</v>
      </c>
      <c r="F63" s="198">
        <f>$C$51*F54</f>
        <v>0</v>
      </c>
      <c r="G63" s="202">
        <f t="shared" ref="G63:G65" si="10">SUM(C63:F63)</f>
        <v>0</v>
      </c>
    </row>
    <row r="64" spans="2:7" x14ac:dyDescent="0.25">
      <c r="B64" s="266" t="s">
        <v>68</v>
      </c>
      <c r="C64" s="198">
        <f>$D$51*C54</f>
        <v>0</v>
      </c>
      <c r="D64" s="198">
        <f>$D$51*D54</f>
        <v>0</v>
      </c>
      <c r="E64" s="198">
        <f>$D$51*E54</f>
        <v>0</v>
      </c>
      <c r="F64" s="198">
        <f>$D$51*F54</f>
        <v>0</v>
      </c>
      <c r="G64" s="202">
        <f t="shared" si="10"/>
        <v>0</v>
      </c>
    </row>
    <row r="65" spans="2:7" x14ac:dyDescent="0.25">
      <c r="B65" s="266" t="s">
        <v>69</v>
      </c>
      <c r="C65" s="198">
        <f>$E$51*C54</f>
        <v>0</v>
      </c>
      <c r="D65" s="198">
        <f>$E$51*D54</f>
        <v>0</v>
      </c>
      <c r="E65" s="198">
        <f>$E$51*E54</f>
        <v>0</v>
      </c>
      <c r="F65" s="198">
        <f>$E$51*F54</f>
        <v>0</v>
      </c>
      <c r="G65" s="202">
        <f t="shared" si="10"/>
        <v>0</v>
      </c>
    </row>
    <row r="66" spans="2:7" x14ac:dyDescent="0.25">
      <c r="B66" s="191"/>
      <c r="C66" s="198"/>
      <c r="D66" s="198"/>
      <c r="E66" s="198"/>
      <c r="F66" s="198"/>
      <c r="G66" s="202"/>
    </row>
    <row r="67" spans="2:7" x14ac:dyDescent="0.25">
      <c r="B67" s="192" t="s">
        <v>263</v>
      </c>
      <c r="C67" s="198"/>
      <c r="D67" s="198"/>
      <c r="E67" s="198"/>
      <c r="F67" s="198"/>
      <c r="G67" s="202"/>
    </row>
    <row r="68" spans="2:7" x14ac:dyDescent="0.25">
      <c r="B68" s="266" t="s">
        <v>67</v>
      </c>
      <c r="C68" s="198">
        <f>C63*C56</f>
        <v>0</v>
      </c>
      <c r="D68" s="198">
        <f>D63*D56</f>
        <v>0</v>
      </c>
      <c r="E68" s="198">
        <f>E63*E56</f>
        <v>0</v>
      </c>
      <c r="F68" s="198">
        <f>F63*F56</f>
        <v>0</v>
      </c>
      <c r="G68" s="202">
        <f t="shared" ref="G68:G70" si="11">SUM(C68:F68)</f>
        <v>0</v>
      </c>
    </row>
    <row r="69" spans="2:7" x14ac:dyDescent="0.25">
      <c r="B69" s="266" t="s">
        <v>68</v>
      </c>
      <c r="C69" s="198">
        <f>C64*C56</f>
        <v>0</v>
      </c>
      <c r="D69" s="198">
        <f>D64*D56</f>
        <v>0</v>
      </c>
      <c r="E69" s="198">
        <f>E64*E56</f>
        <v>0</v>
      </c>
      <c r="F69" s="198">
        <f>F64*F56</f>
        <v>0</v>
      </c>
      <c r="G69" s="202">
        <f t="shared" si="11"/>
        <v>0</v>
      </c>
    </row>
    <row r="70" spans="2:7" x14ac:dyDescent="0.25">
      <c r="B70" s="266" t="s">
        <v>69</v>
      </c>
      <c r="C70" s="198">
        <f>C65*C56</f>
        <v>0</v>
      </c>
      <c r="D70" s="198">
        <f>D65*D56</f>
        <v>0</v>
      </c>
      <c r="E70" s="198">
        <f>E65*E56</f>
        <v>0</v>
      </c>
      <c r="F70" s="198">
        <f>F65*F56</f>
        <v>0</v>
      </c>
      <c r="G70" s="202">
        <f t="shared" si="11"/>
        <v>0</v>
      </c>
    </row>
    <row r="71" spans="2:7" x14ac:dyDescent="0.25">
      <c r="B71" s="191"/>
      <c r="C71" s="198"/>
      <c r="D71" s="198"/>
      <c r="E71" s="198"/>
      <c r="F71" s="198"/>
      <c r="G71" s="202"/>
    </row>
    <row r="72" spans="2:7" x14ac:dyDescent="0.25">
      <c r="B72" s="192" t="s">
        <v>264</v>
      </c>
      <c r="C72" s="198"/>
      <c r="D72" s="198"/>
      <c r="E72" s="198"/>
      <c r="F72" s="198"/>
      <c r="G72" s="202"/>
    </row>
    <row r="73" spans="2:7" x14ac:dyDescent="0.25">
      <c r="B73" s="266" t="s">
        <v>67</v>
      </c>
      <c r="C73" s="198">
        <f>C63*C57</f>
        <v>0</v>
      </c>
      <c r="D73" s="198">
        <f>D63*D57</f>
        <v>0</v>
      </c>
      <c r="E73" s="198">
        <f>E63*E57</f>
        <v>0</v>
      </c>
      <c r="F73" s="198">
        <f>F63*F57</f>
        <v>0</v>
      </c>
      <c r="G73" s="202">
        <f t="shared" ref="G73:G75" si="12">SUM(C73:F73)</f>
        <v>0</v>
      </c>
    </row>
    <row r="74" spans="2:7" x14ac:dyDescent="0.25">
      <c r="B74" s="266" t="s">
        <v>68</v>
      </c>
      <c r="C74" s="198">
        <f>C64*C57</f>
        <v>0</v>
      </c>
      <c r="D74" s="198">
        <f>D64*D57</f>
        <v>0</v>
      </c>
      <c r="E74" s="198">
        <f>E64*E57</f>
        <v>0</v>
      </c>
      <c r="F74" s="198">
        <f>F64*F57</f>
        <v>0</v>
      </c>
      <c r="G74" s="202">
        <f t="shared" si="12"/>
        <v>0</v>
      </c>
    </row>
    <row r="75" spans="2:7" x14ac:dyDescent="0.25">
      <c r="B75" s="266" t="s">
        <v>69</v>
      </c>
      <c r="C75" s="198">
        <f>C65*C57</f>
        <v>0</v>
      </c>
      <c r="D75" s="198">
        <f>D65*D57</f>
        <v>0</v>
      </c>
      <c r="E75" s="198">
        <f>E65*E57</f>
        <v>0</v>
      </c>
      <c r="F75" s="198">
        <f>F65*F57</f>
        <v>0</v>
      </c>
      <c r="G75" s="202">
        <f t="shared" si="12"/>
        <v>0</v>
      </c>
    </row>
    <row r="76" spans="2:7" x14ac:dyDescent="0.25">
      <c r="B76" s="191"/>
      <c r="C76" s="198"/>
      <c r="D76" s="198"/>
      <c r="E76" s="198"/>
      <c r="F76" s="198"/>
      <c r="G76" s="202"/>
    </row>
    <row r="77" spans="2:7" x14ac:dyDescent="0.25">
      <c r="B77" s="192" t="s">
        <v>265</v>
      </c>
      <c r="C77" s="200"/>
      <c r="D77" s="200"/>
      <c r="E77" s="200"/>
      <c r="F77" s="200"/>
      <c r="G77" s="202"/>
    </row>
    <row r="78" spans="2:7" x14ac:dyDescent="0.25">
      <c r="B78" s="266" t="s">
        <v>67</v>
      </c>
      <c r="C78" s="191">
        <f>C63*C58</f>
        <v>0</v>
      </c>
      <c r="D78" s="191">
        <f>D63*D58</f>
        <v>0</v>
      </c>
      <c r="E78" s="191">
        <f>E63*E58</f>
        <v>0</v>
      </c>
      <c r="F78" s="191">
        <f>F63*F58</f>
        <v>0</v>
      </c>
      <c r="G78" s="202">
        <f t="shared" ref="G78:G80" si="13">SUM(C78:F78)</f>
        <v>0</v>
      </c>
    </row>
    <row r="79" spans="2:7" x14ac:dyDescent="0.25">
      <c r="B79" s="266" t="s">
        <v>68</v>
      </c>
      <c r="C79" s="191">
        <f>C64*C58</f>
        <v>0</v>
      </c>
      <c r="D79" s="191">
        <f>D64*D58</f>
        <v>0</v>
      </c>
      <c r="E79" s="191">
        <f>E64*E58</f>
        <v>0</v>
      </c>
      <c r="F79" s="191">
        <f>F64*F58</f>
        <v>0</v>
      </c>
      <c r="G79" s="202">
        <f t="shared" si="13"/>
        <v>0</v>
      </c>
    </row>
    <row r="80" spans="2:7" x14ac:dyDescent="0.25">
      <c r="B80" s="266" t="s">
        <v>69</v>
      </c>
      <c r="C80" s="267">
        <f>C65*C58</f>
        <v>0</v>
      </c>
      <c r="D80" s="267">
        <f>D65*D58</f>
        <v>0</v>
      </c>
      <c r="E80" s="267">
        <f>E65*E58</f>
        <v>0</v>
      </c>
      <c r="F80" s="267">
        <f>F65*F58</f>
        <v>0</v>
      </c>
      <c r="G80" s="202">
        <f t="shared" si="13"/>
        <v>0</v>
      </c>
    </row>
    <row r="81" spans="2:7" x14ac:dyDescent="0.25">
      <c r="B81" s="191"/>
      <c r="C81" s="193"/>
      <c r="D81" s="198"/>
      <c r="E81" s="198"/>
      <c r="F81" s="198"/>
      <c r="G81" s="202"/>
    </row>
    <row r="82" spans="2:7" x14ac:dyDescent="0.25">
      <c r="B82" s="192" t="s">
        <v>266</v>
      </c>
      <c r="C82" s="193"/>
      <c r="D82" s="198"/>
      <c r="E82" s="198"/>
      <c r="F82" s="198"/>
      <c r="G82" s="202"/>
    </row>
    <row r="83" spans="2:7" x14ac:dyDescent="0.25">
      <c r="B83" s="266" t="s">
        <v>67</v>
      </c>
      <c r="C83" s="267">
        <f>C63*C59</f>
        <v>0</v>
      </c>
      <c r="D83" s="267">
        <f>D63*D59</f>
        <v>0</v>
      </c>
      <c r="E83" s="267">
        <f>E63*E59</f>
        <v>0</v>
      </c>
      <c r="F83" s="267">
        <f>F63*F59</f>
        <v>0</v>
      </c>
      <c r="G83" s="202">
        <f t="shared" ref="G83:G85" si="14">SUM(C83:F83)</f>
        <v>0</v>
      </c>
    </row>
    <row r="84" spans="2:7" x14ac:dyDescent="0.25">
      <c r="B84" s="266" t="s">
        <v>68</v>
      </c>
      <c r="C84" s="194">
        <f>C64*C59</f>
        <v>0</v>
      </c>
      <c r="D84" s="194">
        <f>D64*D59</f>
        <v>0</v>
      </c>
      <c r="E84" s="194">
        <f>E64*E59</f>
        <v>0</v>
      </c>
      <c r="F84" s="194">
        <f>F64*F59</f>
        <v>0</v>
      </c>
      <c r="G84" s="202">
        <f t="shared" si="14"/>
        <v>0</v>
      </c>
    </row>
    <row r="85" spans="2:7" x14ac:dyDescent="0.25">
      <c r="B85" s="266" t="s">
        <v>69</v>
      </c>
      <c r="C85" s="267">
        <f>C65*C59</f>
        <v>0</v>
      </c>
      <c r="D85" s="267">
        <f>D65*D59</f>
        <v>0</v>
      </c>
      <c r="E85" s="267">
        <f>E65*E59</f>
        <v>0</v>
      </c>
      <c r="F85" s="267">
        <f>F65*F59</f>
        <v>0</v>
      </c>
      <c r="G85" s="202">
        <f t="shared" si="14"/>
        <v>0</v>
      </c>
    </row>
    <row r="86" spans="2:7" x14ac:dyDescent="0.25">
      <c r="B86" s="195"/>
      <c r="C86" s="196"/>
      <c r="D86" s="199"/>
      <c r="E86" s="199"/>
      <c r="F86" s="199"/>
      <c r="G86" s="199"/>
    </row>
    <row r="89" spans="2:7" x14ac:dyDescent="0.25">
      <c r="B89" s="270" t="s">
        <v>282</v>
      </c>
      <c r="C89" s="271"/>
      <c r="D89" s="271"/>
      <c r="E89" s="271"/>
      <c r="F89" s="271"/>
      <c r="G89" s="271"/>
    </row>
    <row r="90" spans="2:7" x14ac:dyDescent="0.25">
      <c r="B90" s="201" t="s">
        <v>89</v>
      </c>
      <c r="C90" s="201" t="str">
        <f>'Data input'!C47</f>
        <v>Domestic</v>
      </c>
      <c r="D90" s="201" t="str">
        <f>'Data input'!D47</f>
        <v>Export</v>
      </c>
      <c r="E90" s="201" t="str">
        <f>'Data input'!E47</f>
        <v>Japan ox</v>
      </c>
      <c r="F90" s="201"/>
      <c r="G90" s="201" t="str">
        <f>'Data input'!G47</f>
        <v>Units</v>
      </c>
    </row>
    <row r="91" spans="2:7" x14ac:dyDescent="0.25">
      <c r="B91" s="191"/>
      <c r="C91" s="191"/>
      <c r="D91" s="191"/>
      <c r="E91" s="191"/>
      <c r="F91" s="191"/>
      <c r="G91" s="191"/>
    </row>
    <row r="92" spans="2:7" x14ac:dyDescent="0.25">
      <c r="B92" s="192" t="s">
        <v>106</v>
      </c>
      <c r="C92" s="198">
        <f>'Data input'!C48</f>
        <v>0</v>
      </c>
      <c r="D92" s="198">
        <f>'Data input'!D48</f>
        <v>0</v>
      </c>
      <c r="E92" s="198">
        <f>'Data input'!E48</f>
        <v>0</v>
      </c>
      <c r="F92" s="198"/>
      <c r="G92" s="198" t="str">
        <f>'Data input'!G48</f>
        <v>head</v>
      </c>
    </row>
    <row r="93" spans="2:7" x14ac:dyDescent="0.25">
      <c r="B93" s="192" t="s">
        <v>286</v>
      </c>
      <c r="C93" s="198">
        <f>'Data input'!C49</f>
        <v>0</v>
      </c>
      <c r="D93" s="198">
        <f>'Data input'!D49</f>
        <v>0</v>
      </c>
      <c r="E93" s="198">
        <f>'Data input'!E49</f>
        <v>0</v>
      </c>
      <c r="F93" s="198"/>
      <c r="G93" s="198" t="str">
        <f>'Data input'!G49</f>
        <v xml:space="preserve">days </v>
      </c>
    </row>
    <row r="94" spans="2:7" x14ac:dyDescent="0.25">
      <c r="B94" s="192" t="s">
        <v>107</v>
      </c>
      <c r="C94" s="198">
        <f>'Data input'!C53</f>
        <v>0</v>
      </c>
      <c r="D94" s="198">
        <f>'Data input'!D53</f>
        <v>0</v>
      </c>
      <c r="E94" s="198">
        <f>'Data input'!E53</f>
        <v>0</v>
      </c>
      <c r="F94" s="198"/>
      <c r="G94" s="198" t="str">
        <f>'Data input'!G53</f>
        <v>kg/head/day</v>
      </c>
    </row>
    <row r="95" spans="2:7" x14ac:dyDescent="0.25">
      <c r="B95" s="191"/>
      <c r="C95" s="198"/>
      <c r="D95" s="198"/>
      <c r="E95" s="198"/>
      <c r="F95" s="194"/>
      <c r="G95" s="191"/>
    </row>
    <row r="96" spans="2:7" x14ac:dyDescent="0.25">
      <c r="B96" s="191"/>
      <c r="C96" s="268" t="s">
        <v>79</v>
      </c>
      <c r="D96" s="268" t="s">
        <v>80</v>
      </c>
      <c r="E96" s="268" t="s">
        <v>81</v>
      </c>
      <c r="F96" s="268" t="s">
        <v>82</v>
      </c>
      <c r="G96" s="191" t="s">
        <v>164</v>
      </c>
    </row>
    <row r="97" spans="2:7" x14ac:dyDescent="0.25">
      <c r="B97" s="192" t="s">
        <v>78</v>
      </c>
      <c r="C97" s="191">
        <f>'Data input'!C57</f>
        <v>0</v>
      </c>
      <c r="D97" s="191">
        <f>'Data input'!D57</f>
        <v>0</v>
      </c>
      <c r="E97" s="191">
        <f>'Data input'!E57</f>
        <v>0</v>
      </c>
      <c r="F97" s="191">
        <f>'Data input'!F57</f>
        <v>0</v>
      </c>
      <c r="G97" s="202">
        <f>SUM(C97:F97)</f>
        <v>0</v>
      </c>
    </row>
    <row r="98" spans="2:7" x14ac:dyDescent="0.25">
      <c r="B98" s="192" t="s">
        <v>83</v>
      </c>
      <c r="C98" s="198"/>
      <c r="D98" s="198"/>
      <c r="E98" s="198"/>
      <c r="F98" s="194"/>
      <c r="G98" s="202"/>
    </row>
    <row r="99" spans="2:7" x14ac:dyDescent="0.25">
      <c r="B99" s="194" t="s">
        <v>84</v>
      </c>
      <c r="C99" s="194">
        <f>'Data input'!C59</f>
        <v>0</v>
      </c>
      <c r="D99" s="194">
        <f>'Data input'!D59</f>
        <v>0</v>
      </c>
      <c r="E99" s="194">
        <f>'Data input'!E59</f>
        <v>0</v>
      </c>
      <c r="F99" s="194">
        <f>'Data input'!F59</f>
        <v>0</v>
      </c>
      <c r="G99" s="202">
        <f t="shared" ref="G99:G102" si="15">SUM(C99:F99)</f>
        <v>0</v>
      </c>
    </row>
    <row r="100" spans="2:7" x14ac:dyDescent="0.25">
      <c r="B100" s="194" t="s">
        <v>85</v>
      </c>
      <c r="C100" s="194">
        <f>'Data input'!C60</f>
        <v>0</v>
      </c>
      <c r="D100" s="194">
        <f>'Data input'!D60</f>
        <v>0</v>
      </c>
      <c r="E100" s="194">
        <f>'Data input'!E60</f>
        <v>0</v>
      </c>
      <c r="F100" s="194">
        <f>'Data input'!F60</f>
        <v>0</v>
      </c>
      <c r="G100" s="202">
        <f t="shared" si="15"/>
        <v>0</v>
      </c>
    </row>
    <row r="101" spans="2:7" x14ac:dyDescent="0.25">
      <c r="B101" s="194" t="s">
        <v>86</v>
      </c>
      <c r="C101" s="194">
        <f>'Data input'!C61</f>
        <v>0</v>
      </c>
      <c r="D101" s="194">
        <f>'Data input'!D61</f>
        <v>0</v>
      </c>
      <c r="E101" s="194">
        <f>'Data input'!E61</f>
        <v>0</v>
      </c>
      <c r="F101" s="194">
        <f>'Data input'!F61</f>
        <v>0</v>
      </c>
      <c r="G101" s="202">
        <f t="shared" si="15"/>
        <v>0</v>
      </c>
    </row>
    <row r="102" spans="2:7" x14ac:dyDescent="0.25">
      <c r="B102" s="194" t="s">
        <v>87</v>
      </c>
      <c r="C102" s="194">
        <f>'Data input'!C62</f>
        <v>0</v>
      </c>
      <c r="D102" s="194">
        <f>'Data input'!D62</f>
        <v>0</v>
      </c>
      <c r="E102" s="194">
        <f>'Data input'!E62</f>
        <v>0</v>
      </c>
      <c r="F102" s="194">
        <f>'Data input'!F62</f>
        <v>0</v>
      </c>
      <c r="G102" s="202">
        <f t="shared" si="15"/>
        <v>0</v>
      </c>
    </row>
    <row r="103" spans="2:7" x14ac:dyDescent="0.25">
      <c r="B103" s="192"/>
      <c r="C103" s="194"/>
      <c r="D103" s="194"/>
      <c r="E103" s="194"/>
      <c r="F103" s="194"/>
      <c r="G103" s="202"/>
    </row>
    <row r="104" spans="2:7" x14ac:dyDescent="0.25">
      <c r="B104" s="192"/>
      <c r="C104" s="198"/>
      <c r="D104" s="198"/>
      <c r="E104" s="198"/>
      <c r="F104" s="198"/>
      <c r="G104" s="202"/>
    </row>
    <row r="105" spans="2:7" x14ac:dyDescent="0.25">
      <c r="B105" s="192" t="s">
        <v>88</v>
      </c>
      <c r="C105" s="198"/>
      <c r="D105" s="198"/>
      <c r="E105" s="198"/>
      <c r="F105" s="198"/>
      <c r="G105" s="202"/>
    </row>
    <row r="106" spans="2:7" x14ac:dyDescent="0.25">
      <c r="B106" s="266" t="s">
        <v>67</v>
      </c>
      <c r="C106" s="198">
        <f>$C$94*C97</f>
        <v>0</v>
      </c>
      <c r="D106" s="198">
        <f>$C$94*D97</f>
        <v>0</v>
      </c>
      <c r="E106" s="198">
        <f>$C$94*E97</f>
        <v>0</v>
      </c>
      <c r="F106" s="198">
        <f>$C$94*F97</f>
        <v>0</v>
      </c>
      <c r="G106" s="202">
        <f t="shared" ref="G106:G108" si="16">SUM(C106:F106)</f>
        <v>0</v>
      </c>
    </row>
    <row r="107" spans="2:7" x14ac:dyDescent="0.25">
      <c r="B107" s="266" t="s">
        <v>68</v>
      </c>
      <c r="C107" s="198">
        <f>$D$94*C97</f>
        <v>0</v>
      </c>
      <c r="D107" s="198">
        <f>$D$94*D97</f>
        <v>0</v>
      </c>
      <c r="E107" s="198">
        <f>$D$94*E97</f>
        <v>0</v>
      </c>
      <c r="F107" s="198">
        <f>$D$94*F97</f>
        <v>0</v>
      </c>
      <c r="G107" s="202">
        <f t="shared" si="16"/>
        <v>0</v>
      </c>
    </row>
    <row r="108" spans="2:7" x14ac:dyDescent="0.25">
      <c r="B108" s="266" t="s">
        <v>69</v>
      </c>
      <c r="C108" s="198">
        <f>$E$94*C97</f>
        <v>0</v>
      </c>
      <c r="D108" s="198">
        <f>$E$94*D97</f>
        <v>0</v>
      </c>
      <c r="E108" s="198">
        <f>$E$94*E97</f>
        <v>0</v>
      </c>
      <c r="F108" s="198">
        <f>$E$94*F97</f>
        <v>0</v>
      </c>
      <c r="G108" s="202">
        <f t="shared" si="16"/>
        <v>0</v>
      </c>
    </row>
    <row r="109" spans="2:7" x14ac:dyDescent="0.25">
      <c r="B109" s="191"/>
      <c r="C109" s="198"/>
      <c r="D109" s="198"/>
      <c r="E109" s="198"/>
      <c r="F109" s="198"/>
      <c r="G109" s="202"/>
    </row>
    <row r="110" spans="2:7" x14ac:dyDescent="0.25">
      <c r="B110" s="192" t="s">
        <v>263</v>
      </c>
      <c r="C110" s="198"/>
      <c r="D110" s="198"/>
      <c r="E110" s="198"/>
      <c r="F110" s="198"/>
      <c r="G110" s="202"/>
    </row>
    <row r="111" spans="2:7" x14ac:dyDescent="0.25">
      <c r="B111" s="266" t="s">
        <v>67</v>
      </c>
      <c r="C111" s="198">
        <f>C106*C99</f>
        <v>0</v>
      </c>
      <c r="D111" s="198">
        <f>D106*D99</f>
        <v>0</v>
      </c>
      <c r="E111" s="198">
        <f>E106*E99</f>
        <v>0</v>
      </c>
      <c r="F111" s="198">
        <f>F106*F99</f>
        <v>0</v>
      </c>
      <c r="G111" s="202">
        <f t="shared" ref="G111:G113" si="17">SUM(C111:F111)</f>
        <v>0</v>
      </c>
    </row>
    <row r="112" spans="2:7" x14ac:dyDescent="0.25">
      <c r="B112" s="266" t="s">
        <v>68</v>
      </c>
      <c r="C112" s="198">
        <f>C107*C99</f>
        <v>0</v>
      </c>
      <c r="D112" s="198">
        <f>D107*D99</f>
        <v>0</v>
      </c>
      <c r="E112" s="198">
        <f>E107*E99</f>
        <v>0</v>
      </c>
      <c r="F112" s="198">
        <f>F107*F99</f>
        <v>0</v>
      </c>
      <c r="G112" s="202">
        <f t="shared" si="17"/>
        <v>0</v>
      </c>
    </row>
    <row r="113" spans="2:7" x14ac:dyDescent="0.25">
      <c r="B113" s="266" t="s">
        <v>69</v>
      </c>
      <c r="C113" s="198">
        <f>C108*C99</f>
        <v>0</v>
      </c>
      <c r="D113" s="198">
        <f>D108*D99</f>
        <v>0</v>
      </c>
      <c r="E113" s="198">
        <f>E108*E99</f>
        <v>0</v>
      </c>
      <c r="F113" s="198">
        <f>F108*F99</f>
        <v>0</v>
      </c>
      <c r="G113" s="202">
        <f t="shared" si="17"/>
        <v>0</v>
      </c>
    </row>
    <row r="114" spans="2:7" x14ac:dyDescent="0.25">
      <c r="B114" s="191"/>
      <c r="C114" s="198"/>
      <c r="D114" s="198"/>
      <c r="E114" s="198"/>
      <c r="F114" s="198"/>
      <c r="G114" s="202"/>
    </row>
    <row r="115" spans="2:7" x14ac:dyDescent="0.25">
      <c r="B115" s="192" t="s">
        <v>264</v>
      </c>
      <c r="C115" s="198"/>
      <c r="D115" s="198"/>
      <c r="E115" s="198"/>
      <c r="F115" s="198"/>
      <c r="G115" s="202"/>
    </row>
    <row r="116" spans="2:7" x14ac:dyDescent="0.25">
      <c r="B116" s="266" t="s">
        <v>67</v>
      </c>
      <c r="C116" s="198">
        <f>C106*C100</f>
        <v>0</v>
      </c>
      <c r="D116" s="198">
        <f>D106*D100</f>
        <v>0</v>
      </c>
      <c r="E116" s="198">
        <f>E106*E100</f>
        <v>0</v>
      </c>
      <c r="F116" s="198">
        <f>F106*F100</f>
        <v>0</v>
      </c>
      <c r="G116" s="202">
        <f t="shared" ref="G116:G118" si="18">SUM(C116:F116)</f>
        <v>0</v>
      </c>
    </row>
    <row r="117" spans="2:7" x14ac:dyDescent="0.25">
      <c r="B117" s="266" t="s">
        <v>68</v>
      </c>
      <c r="C117" s="198">
        <f>C107*C100</f>
        <v>0</v>
      </c>
      <c r="D117" s="198">
        <f>D107*D100</f>
        <v>0</v>
      </c>
      <c r="E117" s="198">
        <f>E107*E100</f>
        <v>0</v>
      </c>
      <c r="F117" s="198">
        <f>F107*F100</f>
        <v>0</v>
      </c>
      <c r="G117" s="202">
        <f t="shared" si="18"/>
        <v>0</v>
      </c>
    </row>
    <row r="118" spans="2:7" x14ac:dyDescent="0.25">
      <c r="B118" s="266" t="s">
        <v>69</v>
      </c>
      <c r="C118" s="198">
        <f>C108*C100</f>
        <v>0</v>
      </c>
      <c r="D118" s="198">
        <f>D108*D100</f>
        <v>0</v>
      </c>
      <c r="E118" s="198">
        <f>E108*E100</f>
        <v>0</v>
      </c>
      <c r="F118" s="198">
        <f>F108*F100</f>
        <v>0</v>
      </c>
      <c r="G118" s="202">
        <f t="shared" si="18"/>
        <v>0</v>
      </c>
    </row>
    <row r="119" spans="2:7" x14ac:dyDescent="0.25">
      <c r="B119" s="191"/>
      <c r="C119" s="198"/>
      <c r="D119" s="198"/>
      <c r="E119" s="198"/>
      <c r="F119" s="198"/>
      <c r="G119" s="202"/>
    </row>
    <row r="120" spans="2:7" x14ac:dyDescent="0.25">
      <c r="B120" s="192" t="s">
        <v>265</v>
      </c>
      <c r="C120" s="200"/>
      <c r="D120" s="200"/>
      <c r="E120" s="200"/>
      <c r="F120" s="200"/>
      <c r="G120" s="202"/>
    </row>
    <row r="121" spans="2:7" x14ac:dyDescent="0.25">
      <c r="B121" s="266" t="s">
        <v>67</v>
      </c>
      <c r="C121" s="198">
        <f>C106*C101</f>
        <v>0</v>
      </c>
      <c r="D121" s="198">
        <f>D106*D101</f>
        <v>0</v>
      </c>
      <c r="E121" s="198">
        <f>E106*E101</f>
        <v>0</v>
      </c>
      <c r="F121" s="198">
        <f>F106*F101</f>
        <v>0</v>
      </c>
      <c r="G121" s="202">
        <f t="shared" ref="G121:G123" si="19">SUM(C121:F121)</f>
        <v>0</v>
      </c>
    </row>
    <row r="122" spans="2:7" x14ac:dyDescent="0.25">
      <c r="B122" s="266" t="s">
        <v>68</v>
      </c>
      <c r="C122" s="198">
        <f>C107*C101</f>
        <v>0</v>
      </c>
      <c r="D122" s="198">
        <f>D107*D101</f>
        <v>0</v>
      </c>
      <c r="E122" s="198">
        <f>E107*E101</f>
        <v>0</v>
      </c>
      <c r="F122" s="198">
        <f>F107*F101</f>
        <v>0</v>
      </c>
      <c r="G122" s="202">
        <f t="shared" si="19"/>
        <v>0</v>
      </c>
    </row>
    <row r="123" spans="2:7" x14ac:dyDescent="0.25">
      <c r="B123" s="266" t="s">
        <v>69</v>
      </c>
      <c r="C123" s="306">
        <f>C108*C101</f>
        <v>0</v>
      </c>
      <c r="D123" s="306">
        <f>D108*D101</f>
        <v>0</v>
      </c>
      <c r="E123" s="306">
        <f>E108*E101</f>
        <v>0</v>
      </c>
      <c r="F123" s="306">
        <f>F108*F101</f>
        <v>0</v>
      </c>
      <c r="G123" s="202">
        <f t="shared" si="19"/>
        <v>0</v>
      </c>
    </row>
    <row r="124" spans="2:7" x14ac:dyDescent="0.25">
      <c r="B124" s="191"/>
      <c r="C124" s="306"/>
      <c r="D124" s="198"/>
      <c r="E124" s="198"/>
      <c r="F124" s="198"/>
      <c r="G124" s="202"/>
    </row>
    <row r="125" spans="2:7" x14ac:dyDescent="0.25">
      <c r="B125" s="192" t="s">
        <v>266</v>
      </c>
      <c r="C125" s="306"/>
      <c r="D125" s="198"/>
      <c r="E125" s="198"/>
      <c r="F125" s="198"/>
      <c r="G125" s="202"/>
    </row>
    <row r="126" spans="2:7" x14ac:dyDescent="0.25">
      <c r="B126" s="266" t="s">
        <v>67</v>
      </c>
      <c r="C126" s="306">
        <f>C106*C102</f>
        <v>0</v>
      </c>
      <c r="D126" s="306">
        <f>D106*D102</f>
        <v>0</v>
      </c>
      <c r="E126" s="306">
        <f>E106*E102</f>
        <v>0</v>
      </c>
      <c r="F126" s="306">
        <f>F106*F102</f>
        <v>0</v>
      </c>
      <c r="G126" s="202">
        <f t="shared" ref="G126:G128" si="20">SUM(C126:F126)</f>
        <v>0</v>
      </c>
    </row>
    <row r="127" spans="2:7" x14ac:dyDescent="0.25">
      <c r="B127" s="266" t="s">
        <v>68</v>
      </c>
      <c r="C127" s="198">
        <f>C107*C102</f>
        <v>0</v>
      </c>
      <c r="D127" s="198">
        <f>D107*D102</f>
        <v>0</v>
      </c>
      <c r="E127" s="198">
        <f>E107*E102</f>
        <v>0</v>
      </c>
      <c r="F127" s="198">
        <f>F107*F102</f>
        <v>0</v>
      </c>
      <c r="G127" s="202">
        <f t="shared" si="20"/>
        <v>0</v>
      </c>
    </row>
    <row r="128" spans="2:7" x14ac:dyDescent="0.25">
      <c r="B128" s="266" t="s">
        <v>69</v>
      </c>
      <c r="C128" s="306">
        <f>C108*C102</f>
        <v>0</v>
      </c>
      <c r="D128" s="306">
        <f>D108*D102</f>
        <v>0</v>
      </c>
      <c r="E128" s="306">
        <f>E108*E102</f>
        <v>0</v>
      </c>
      <c r="F128" s="306">
        <f>F108*F102</f>
        <v>0</v>
      </c>
      <c r="G128" s="202">
        <f t="shared" si="20"/>
        <v>0</v>
      </c>
    </row>
    <row r="129" spans="2:7" x14ac:dyDescent="0.25">
      <c r="B129" s="195"/>
      <c r="C129" s="307"/>
      <c r="D129" s="199"/>
      <c r="E129" s="199"/>
      <c r="F129" s="199"/>
      <c r="G129" s="199"/>
    </row>
    <row r="132" spans="2:7" x14ac:dyDescent="0.25">
      <c r="B132" s="270" t="s">
        <v>283</v>
      </c>
      <c r="C132" s="271"/>
      <c r="D132" s="271"/>
      <c r="E132" s="271"/>
      <c r="F132" s="271"/>
      <c r="G132" s="271"/>
    </row>
    <row r="133" spans="2:7" x14ac:dyDescent="0.25">
      <c r="B133" s="201" t="s">
        <v>89</v>
      </c>
      <c r="C133" s="201" t="str">
        <f>'Data input'!C66</f>
        <v>Domestic</v>
      </c>
      <c r="D133" s="201" t="str">
        <f>'Data input'!D66</f>
        <v>Export</v>
      </c>
      <c r="E133" s="201" t="str">
        <f>'Data input'!E66</f>
        <v>Japan ox</v>
      </c>
      <c r="F133" s="201"/>
      <c r="G133" s="201" t="str">
        <f>'Data input'!G66</f>
        <v>Units</v>
      </c>
    </row>
    <row r="134" spans="2:7" x14ac:dyDescent="0.25">
      <c r="B134" s="191"/>
      <c r="C134" s="191"/>
      <c r="D134" s="191"/>
      <c r="E134" s="191"/>
      <c r="F134" s="191"/>
      <c r="G134" s="191"/>
    </row>
    <row r="135" spans="2:7" x14ac:dyDescent="0.25">
      <c r="B135" s="192" t="s">
        <v>106</v>
      </c>
      <c r="C135" s="198">
        <f>'Data input'!C67</f>
        <v>0</v>
      </c>
      <c r="D135" s="198">
        <f>'Data input'!D67</f>
        <v>0</v>
      </c>
      <c r="E135" s="198">
        <f>'Data input'!E67</f>
        <v>0</v>
      </c>
      <c r="F135" s="198"/>
      <c r="G135" s="198" t="str">
        <f>'Data input'!G67</f>
        <v>head</v>
      </c>
    </row>
    <row r="136" spans="2:7" x14ac:dyDescent="0.25">
      <c r="B136" s="192" t="s">
        <v>286</v>
      </c>
      <c r="C136" s="198">
        <f>'Data input'!C68</f>
        <v>0</v>
      </c>
      <c r="D136" s="198">
        <f>'Data input'!D68</f>
        <v>0</v>
      </c>
      <c r="E136" s="198">
        <f>'Data input'!E68</f>
        <v>0</v>
      </c>
      <c r="F136" s="198"/>
      <c r="G136" s="198" t="str">
        <f>'Data input'!G68</f>
        <v xml:space="preserve">days </v>
      </c>
    </row>
    <row r="137" spans="2:7" x14ac:dyDescent="0.25">
      <c r="B137" s="192" t="s">
        <v>107</v>
      </c>
      <c r="C137" s="198">
        <f>'Data input'!C72</f>
        <v>0</v>
      </c>
      <c r="D137" s="198">
        <f>'Data input'!D72</f>
        <v>0</v>
      </c>
      <c r="E137" s="198">
        <f>'Data input'!E72</f>
        <v>0</v>
      </c>
      <c r="F137" s="198"/>
      <c r="G137" s="198" t="str">
        <f>'Data input'!G72</f>
        <v>kg/head/day</v>
      </c>
    </row>
    <row r="138" spans="2:7" x14ac:dyDescent="0.25">
      <c r="B138" s="191"/>
      <c r="C138" s="198"/>
      <c r="D138" s="198"/>
      <c r="E138" s="198"/>
      <c r="F138" s="194"/>
      <c r="G138" s="191"/>
    </row>
    <row r="139" spans="2:7" x14ac:dyDescent="0.25">
      <c r="B139" s="191"/>
      <c r="C139" s="268" t="s">
        <v>79</v>
      </c>
      <c r="D139" s="268" t="s">
        <v>80</v>
      </c>
      <c r="E139" s="268" t="s">
        <v>81</v>
      </c>
      <c r="F139" s="268" t="s">
        <v>82</v>
      </c>
      <c r="G139" s="191" t="s">
        <v>164</v>
      </c>
    </row>
    <row r="140" spans="2:7" x14ac:dyDescent="0.25">
      <c r="B140" s="192" t="s">
        <v>78</v>
      </c>
      <c r="C140" s="191">
        <f>'Data input'!C76</f>
        <v>0</v>
      </c>
      <c r="D140" s="191">
        <f>'Data input'!D76</f>
        <v>0</v>
      </c>
      <c r="E140" s="191">
        <f>'Data input'!E76</f>
        <v>0</v>
      </c>
      <c r="F140" s="191">
        <f>'Data input'!F76</f>
        <v>0</v>
      </c>
      <c r="G140" s="202">
        <f>SUM(C140:F140)</f>
        <v>0</v>
      </c>
    </row>
    <row r="141" spans="2:7" x14ac:dyDescent="0.25">
      <c r="B141" s="192" t="s">
        <v>83</v>
      </c>
      <c r="C141" s="198"/>
      <c r="D141" s="198"/>
      <c r="E141" s="198"/>
      <c r="F141" s="194"/>
      <c r="G141" s="202"/>
    </row>
    <row r="142" spans="2:7" x14ac:dyDescent="0.25">
      <c r="B142" s="194" t="s">
        <v>84</v>
      </c>
      <c r="C142" s="194">
        <f>'Data input'!C78</f>
        <v>0</v>
      </c>
      <c r="D142" s="194">
        <f>'Data input'!D78</f>
        <v>0</v>
      </c>
      <c r="E142" s="194">
        <f>'Data input'!E78</f>
        <v>0</v>
      </c>
      <c r="F142" s="194">
        <f>'Data input'!F78</f>
        <v>0</v>
      </c>
      <c r="G142" s="202">
        <f t="shared" ref="G142:G145" si="21">SUM(C142:F142)</f>
        <v>0</v>
      </c>
    </row>
    <row r="143" spans="2:7" x14ac:dyDescent="0.25">
      <c r="B143" s="194" t="s">
        <v>85</v>
      </c>
      <c r="C143" s="194">
        <f>'Data input'!C79</f>
        <v>0</v>
      </c>
      <c r="D143" s="194">
        <f>'Data input'!D79</f>
        <v>0</v>
      </c>
      <c r="E143" s="194">
        <f>'Data input'!E79</f>
        <v>0</v>
      </c>
      <c r="F143" s="194">
        <f>'Data input'!F79</f>
        <v>0</v>
      </c>
      <c r="G143" s="202">
        <f t="shared" si="21"/>
        <v>0</v>
      </c>
    </row>
    <row r="144" spans="2:7" x14ac:dyDescent="0.25">
      <c r="B144" s="194" t="s">
        <v>86</v>
      </c>
      <c r="C144" s="194">
        <f>'Data input'!C80</f>
        <v>0</v>
      </c>
      <c r="D144" s="194">
        <f>'Data input'!D80</f>
        <v>0</v>
      </c>
      <c r="E144" s="194">
        <f>'Data input'!E80</f>
        <v>0</v>
      </c>
      <c r="F144" s="194">
        <f>'Data input'!F80</f>
        <v>0</v>
      </c>
      <c r="G144" s="202">
        <f t="shared" si="21"/>
        <v>0</v>
      </c>
    </row>
    <row r="145" spans="2:7" x14ac:dyDescent="0.25">
      <c r="B145" s="194" t="s">
        <v>87</v>
      </c>
      <c r="C145" s="194">
        <f>'Data input'!C81</f>
        <v>0</v>
      </c>
      <c r="D145" s="194">
        <f>'Data input'!D81</f>
        <v>0</v>
      </c>
      <c r="E145" s="194">
        <f>'Data input'!E81</f>
        <v>0</v>
      </c>
      <c r="F145" s="194">
        <f>'Data input'!F81</f>
        <v>0</v>
      </c>
      <c r="G145" s="202">
        <f t="shared" si="21"/>
        <v>0</v>
      </c>
    </row>
    <row r="146" spans="2:7" x14ac:dyDescent="0.25">
      <c r="B146" s="192"/>
      <c r="C146" s="194"/>
      <c r="D146" s="194"/>
      <c r="E146" s="194"/>
      <c r="F146" s="194"/>
      <c r="G146" s="202"/>
    </row>
    <row r="147" spans="2:7" x14ac:dyDescent="0.25">
      <c r="B147" s="192"/>
      <c r="C147" s="198"/>
      <c r="D147" s="198"/>
      <c r="E147" s="198"/>
      <c r="F147" s="198"/>
      <c r="G147" s="202"/>
    </row>
    <row r="148" spans="2:7" x14ac:dyDescent="0.25">
      <c r="B148" s="192" t="s">
        <v>88</v>
      </c>
      <c r="C148" s="198"/>
      <c r="D148" s="198"/>
      <c r="E148" s="198"/>
      <c r="F148" s="198"/>
      <c r="G148" s="202"/>
    </row>
    <row r="149" spans="2:7" x14ac:dyDescent="0.25">
      <c r="B149" s="266" t="s">
        <v>67</v>
      </c>
      <c r="C149" s="198">
        <f>$C$137*C140</f>
        <v>0</v>
      </c>
      <c r="D149" s="198">
        <f>$C$137*D140</f>
        <v>0</v>
      </c>
      <c r="E149" s="198">
        <f>$C$137*E140</f>
        <v>0</v>
      </c>
      <c r="F149" s="198">
        <f>$C$137*F140</f>
        <v>0</v>
      </c>
      <c r="G149" s="202">
        <f t="shared" ref="G149:G151" si="22">SUM(C149:F149)</f>
        <v>0</v>
      </c>
    </row>
    <row r="150" spans="2:7" x14ac:dyDescent="0.25">
      <c r="B150" s="266" t="s">
        <v>68</v>
      </c>
      <c r="C150" s="198">
        <f>$D$137*C140</f>
        <v>0</v>
      </c>
      <c r="D150" s="198">
        <f>$D$137*D140</f>
        <v>0</v>
      </c>
      <c r="E150" s="198">
        <f>$D$137*E140</f>
        <v>0</v>
      </c>
      <c r="F150" s="198">
        <f>$D$137*F140</f>
        <v>0</v>
      </c>
      <c r="G150" s="202">
        <f t="shared" si="22"/>
        <v>0</v>
      </c>
    </row>
    <row r="151" spans="2:7" x14ac:dyDescent="0.25">
      <c r="B151" s="266" t="s">
        <v>69</v>
      </c>
      <c r="C151" s="198">
        <f>$E$137*C140</f>
        <v>0</v>
      </c>
      <c r="D151" s="198">
        <f>$E$137*D140</f>
        <v>0</v>
      </c>
      <c r="E151" s="198">
        <f>$E$137*E140</f>
        <v>0</v>
      </c>
      <c r="F151" s="198">
        <f>$E$137*F140</f>
        <v>0</v>
      </c>
      <c r="G151" s="202">
        <f t="shared" si="22"/>
        <v>0</v>
      </c>
    </row>
    <row r="152" spans="2:7" x14ac:dyDescent="0.25">
      <c r="B152" s="191"/>
      <c r="C152" s="198"/>
      <c r="D152" s="198"/>
      <c r="E152" s="198"/>
      <c r="F152" s="198"/>
      <c r="G152" s="202"/>
    </row>
    <row r="153" spans="2:7" x14ac:dyDescent="0.25">
      <c r="B153" s="192" t="s">
        <v>263</v>
      </c>
      <c r="C153" s="198"/>
      <c r="D153" s="198"/>
      <c r="E153" s="198"/>
      <c r="F153" s="198"/>
      <c r="G153" s="202"/>
    </row>
    <row r="154" spans="2:7" x14ac:dyDescent="0.25">
      <c r="B154" s="266" t="s">
        <v>67</v>
      </c>
      <c r="C154" s="198">
        <f>C149*C142</f>
        <v>0</v>
      </c>
      <c r="D154" s="198">
        <f>D149*D142</f>
        <v>0</v>
      </c>
      <c r="E154" s="198">
        <f>E149*E142</f>
        <v>0</v>
      </c>
      <c r="F154" s="198">
        <f>F149*F142</f>
        <v>0</v>
      </c>
      <c r="G154" s="202">
        <f t="shared" ref="G154:G156" si="23">SUM(C154:F154)</f>
        <v>0</v>
      </c>
    </row>
    <row r="155" spans="2:7" x14ac:dyDescent="0.25">
      <c r="B155" s="266" t="s">
        <v>68</v>
      </c>
      <c r="C155" s="198">
        <f>C150*C142</f>
        <v>0</v>
      </c>
      <c r="D155" s="198">
        <f>D150*D142</f>
        <v>0</v>
      </c>
      <c r="E155" s="198">
        <f>E150*E142</f>
        <v>0</v>
      </c>
      <c r="F155" s="198">
        <f>F150*F142</f>
        <v>0</v>
      </c>
      <c r="G155" s="202">
        <f t="shared" si="23"/>
        <v>0</v>
      </c>
    </row>
    <row r="156" spans="2:7" x14ac:dyDescent="0.25">
      <c r="B156" s="266" t="s">
        <v>69</v>
      </c>
      <c r="C156" s="198">
        <f>C151*C142</f>
        <v>0</v>
      </c>
      <c r="D156" s="198">
        <f>D151*D142</f>
        <v>0</v>
      </c>
      <c r="E156" s="198">
        <f>E151*E142</f>
        <v>0</v>
      </c>
      <c r="F156" s="198">
        <f>F151*F142</f>
        <v>0</v>
      </c>
      <c r="G156" s="202">
        <f t="shared" si="23"/>
        <v>0</v>
      </c>
    </row>
    <row r="157" spans="2:7" x14ac:dyDescent="0.25">
      <c r="B157" s="191"/>
      <c r="C157" s="198"/>
      <c r="D157" s="198"/>
      <c r="E157" s="198"/>
      <c r="F157" s="198"/>
      <c r="G157" s="202"/>
    </row>
    <row r="158" spans="2:7" x14ac:dyDescent="0.25">
      <c r="B158" s="192" t="s">
        <v>264</v>
      </c>
      <c r="C158" s="198"/>
      <c r="D158" s="198"/>
      <c r="E158" s="198"/>
      <c r="F158" s="198"/>
      <c r="G158" s="202"/>
    </row>
    <row r="159" spans="2:7" x14ac:dyDescent="0.25">
      <c r="B159" s="266" t="s">
        <v>67</v>
      </c>
      <c r="C159" s="198">
        <f>C149*C143</f>
        <v>0</v>
      </c>
      <c r="D159" s="198">
        <f>D149*D143</f>
        <v>0</v>
      </c>
      <c r="E159" s="198">
        <f>E149*E143</f>
        <v>0</v>
      </c>
      <c r="F159" s="198">
        <f>F149*F143</f>
        <v>0</v>
      </c>
      <c r="G159" s="202">
        <f t="shared" ref="G159:G161" si="24">SUM(C159:F159)</f>
        <v>0</v>
      </c>
    </row>
    <row r="160" spans="2:7" x14ac:dyDescent="0.25">
      <c r="B160" s="266" t="s">
        <v>68</v>
      </c>
      <c r="C160" s="198">
        <f>C150*C143</f>
        <v>0</v>
      </c>
      <c r="D160" s="198">
        <f>D150*D143</f>
        <v>0</v>
      </c>
      <c r="E160" s="198">
        <f>E150*E143</f>
        <v>0</v>
      </c>
      <c r="F160" s="198">
        <f>F150*F143</f>
        <v>0</v>
      </c>
      <c r="G160" s="202">
        <f t="shared" si="24"/>
        <v>0</v>
      </c>
    </row>
    <row r="161" spans="2:7" x14ac:dyDescent="0.25">
      <c r="B161" s="266" t="s">
        <v>69</v>
      </c>
      <c r="C161" s="198">
        <f>C151*C143</f>
        <v>0</v>
      </c>
      <c r="D161" s="198">
        <f>D151*D143</f>
        <v>0</v>
      </c>
      <c r="E161" s="198">
        <f>E151*E143</f>
        <v>0</v>
      </c>
      <c r="F161" s="198">
        <f>F151*F143</f>
        <v>0</v>
      </c>
      <c r="G161" s="202">
        <f t="shared" si="24"/>
        <v>0</v>
      </c>
    </row>
    <row r="162" spans="2:7" x14ac:dyDescent="0.25">
      <c r="B162" s="191"/>
      <c r="C162" s="198"/>
      <c r="D162" s="198"/>
      <c r="E162" s="198"/>
      <c r="F162" s="198"/>
      <c r="G162" s="202"/>
    </row>
    <row r="163" spans="2:7" x14ac:dyDescent="0.25">
      <c r="B163" s="192" t="s">
        <v>265</v>
      </c>
      <c r="C163" s="200"/>
      <c r="D163" s="200"/>
      <c r="E163" s="200"/>
      <c r="F163" s="200"/>
      <c r="G163" s="202"/>
    </row>
    <row r="164" spans="2:7" x14ac:dyDescent="0.25">
      <c r="B164" s="266" t="s">
        <v>67</v>
      </c>
      <c r="C164" s="191">
        <f>C149*C144</f>
        <v>0</v>
      </c>
      <c r="D164" s="191">
        <f>D149*D144</f>
        <v>0</v>
      </c>
      <c r="E164" s="191">
        <f>E149*E144</f>
        <v>0</v>
      </c>
      <c r="F164" s="191">
        <f>F149*F144</f>
        <v>0</v>
      </c>
      <c r="G164" s="202">
        <f t="shared" ref="G164:G166" si="25">SUM(C164:F164)</f>
        <v>0</v>
      </c>
    </row>
    <row r="165" spans="2:7" x14ac:dyDescent="0.25">
      <c r="B165" s="266" t="s">
        <v>68</v>
      </c>
      <c r="C165" s="191">
        <f>C150*C144</f>
        <v>0</v>
      </c>
      <c r="D165" s="191">
        <f>D150*D144</f>
        <v>0</v>
      </c>
      <c r="E165" s="191">
        <f>E150*E144</f>
        <v>0</v>
      </c>
      <c r="F165" s="191">
        <f>F150*F144</f>
        <v>0</v>
      </c>
      <c r="G165" s="202">
        <f t="shared" si="25"/>
        <v>0</v>
      </c>
    </row>
    <row r="166" spans="2:7" x14ac:dyDescent="0.25">
      <c r="B166" s="266" t="s">
        <v>69</v>
      </c>
      <c r="C166" s="267">
        <f>C151*C144</f>
        <v>0</v>
      </c>
      <c r="D166" s="267">
        <f>D151*D144</f>
        <v>0</v>
      </c>
      <c r="E166" s="267">
        <f>E151*E144</f>
        <v>0</v>
      </c>
      <c r="F166" s="267">
        <f>F151*F144</f>
        <v>0</v>
      </c>
      <c r="G166" s="202">
        <f t="shared" si="25"/>
        <v>0</v>
      </c>
    </row>
    <row r="167" spans="2:7" x14ac:dyDescent="0.25">
      <c r="B167" s="191"/>
      <c r="C167" s="193"/>
      <c r="D167" s="198"/>
      <c r="E167" s="198"/>
      <c r="F167" s="198"/>
      <c r="G167" s="202"/>
    </row>
    <row r="168" spans="2:7" x14ac:dyDescent="0.25">
      <c r="B168" s="192" t="s">
        <v>266</v>
      </c>
      <c r="C168" s="193"/>
      <c r="D168" s="198"/>
      <c r="E168" s="198"/>
      <c r="F168" s="198"/>
      <c r="G168" s="202"/>
    </row>
    <row r="169" spans="2:7" x14ac:dyDescent="0.25">
      <c r="B169" s="266" t="s">
        <v>67</v>
      </c>
      <c r="C169" s="267">
        <f>C149*C145</f>
        <v>0</v>
      </c>
      <c r="D169" s="267">
        <f>D149*D145</f>
        <v>0</v>
      </c>
      <c r="E169" s="267">
        <f>E149*E145</f>
        <v>0</v>
      </c>
      <c r="F169" s="267">
        <f>F149*F145</f>
        <v>0</v>
      </c>
      <c r="G169" s="202">
        <f t="shared" ref="G169:G171" si="26">SUM(C169:F169)</f>
        <v>0</v>
      </c>
    </row>
    <row r="170" spans="2:7" x14ac:dyDescent="0.25">
      <c r="B170" s="266" t="s">
        <v>68</v>
      </c>
      <c r="C170" s="194">
        <f>C150*C145</f>
        <v>0</v>
      </c>
      <c r="D170" s="194">
        <f>D150*D145</f>
        <v>0</v>
      </c>
      <c r="E170" s="194">
        <f>E150*E145</f>
        <v>0</v>
      </c>
      <c r="F170" s="194">
        <f>F150*F145</f>
        <v>0</v>
      </c>
      <c r="G170" s="202">
        <f t="shared" si="26"/>
        <v>0</v>
      </c>
    </row>
    <row r="171" spans="2:7" x14ac:dyDescent="0.25">
      <c r="B171" s="266" t="s">
        <v>69</v>
      </c>
      <c r="C171" s="267">
        <f>C151*C145</f>
        <v>0</v>
      </c>
      <c r="D171" s="267">
        <f>D151*D145</f>
        <v>0</v>
      </c>
      <c r="E171" s="267">
        <f>E151*E145</f>
        <v>0</v>
      </c>
      <c r="F171" s="267">
        <f>F151*F145</f>
        <v>0</v>
      </c>
      <c r="G171" s="202">
        <f t="shared" si="26"/>
        <v>0</v>
      </c>
    </row>
    <row r="172" spans="2:7" x14ac:dyDescent="0.25">
      <c r="B172" s="195"/>
      <c r="C172" s="196"/>
      <c r="D172" s="199"/>
      <c r="E172" s="199"/>
      <c r="F172" s="199"/>
      <c r="G172" s="199"/>
    </row>
  </sheetData>
  <sheetProtection sheet="1" objects="1" scenarios="1"/>
  <mergeCells count="1">
    <mergeCell ref="U11:X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66"/>
  <sheetViews>
    <sheetView showGridLines="0" zoomScale="90" zoomScaleNormal="90" workbookViewId="0"/>
  </sheetViews>
  <sheetFormatPr defaultColWidth="8.85546875" defaultRowHeight="15.75" x14ac:dyDescent="0.25"/>
  <cols>
    <col min="1" max="1" width="2.5703125" style="78" customWidth="1"/>
    <col min="2" max="2" width="35.28515625" style="78" customWidth="1"/>
    <col min="3" max="3" width="12" style="78" customWidth="1"/>
    <col min="4" max="4" width="10.28515625" style="78" customWidth="1"/>
    <col min="5" max="5" width="10.5703125" style="78" bestFit="1" customWidth="1"/>
    <col min="6" max="6" width="11.42578125" style="78" customWidth="1"/>
    <col min="7" max="7" width="20.42578125" style="78" customWidth="1"/>
    <col min="8" max="8" width="19.5703125" style="82" customWidth="1"/>
    <col min="9" max="16384" width="8.85546875" style="78"/>
  </cols>
  <sheetData>
    <row r="1" spans="2:8" ht="22.15" customHeight="1" x14ac:dyDescent="0.3">
      <c r="B1" s="79" t="s">
        <v>101</v>
      </c>
      <c r="C1" s="79"/>
    </row>
    <row r="3" spans="2:8" x14ac:dyDescent="0.25">
      <c r="B3" s="216" t="s">
        <v>89</v>
      </c>
      <c r="C3" s="216"/>
      <c r="D3" s="216" t="str">
        <f>'Data input'!C9</f>
        <v>Domestic</v>
      </c>
      <c r="E3" s="216" t="str">
        <f>'Data input'!D9</f>
        <v>Export</v>
      </c>
      <c r="F3" s="216" t="str">
        <f>'Data input'!E9</f>
        <v>Japan ox</v>
      </c>
      <c r="G3" s="224" t="str">
        <f>'Data input'!G9</f>
        <v>Units</v>
      </c>
      <c r="H3" s="223" t="s">
        <v>71</v>
      </c>
    </row>
    <row r="4" spans="2:8" x14ac:dyDescent="0.25">
      <c r="B4" s="186"/>
      <c r="C4" s="186"/>
      <c r="D4" s="186"/>
      <c r="E4" s="186"/>
      <c r="F4" s="186"/>
      <c r="G4" s="186"/>
      <c r="H4" s="215"/>
    </row>
    <row r="5" spans="2:8" x14ac:dyDescent="0.25">
      <c r="B5" s="187" t="s">
        <v>106</v>
      </c>
      <c r="C5" s="274" t="s">
        <v>277</v>
      </c>
      <c r="D5" s="186">
        <f>'Data input'!C10</f>
        <v>20000</v>
      </c>
      <c r="E5" s="186">
        <f>'Data input'!D10</f>
        <v>15000</v>
      </c>
      <c r="F5" s="186">
        <f>'Data input'!E10</f>
        <v>10000</v>
      </c>
      <c r="G5" s="188" t="str">
        <f>'Data input'!G10</f>
        <v>head</v>
      </c>
      <c r="H5" s="215"/>
    </row>
    <row r="6" spans="2:8" x14ac:dyDescent="0.25">
      <c r="B6" s="186"/>
      <c r="C6" s="274" t="s">
        <v>281</v>
      </c>
      <c r="D6" s="186">
        <f>'Data input'!C29</f>
        <v>0</v>
      </c>
      <c r="E6" s="186">
        <f>'Data input'!D29</f>
        <v>0</v>
      </c>
      <c r="F6" s="186">
        <f>'Data input'!E29</f>
        <v>0</v>
      </c>
      <c r="G6" s="188" t="str">
        <f>'Data input'!G29</f>
        <v>head</v>
      </c>
      <c r="H6" s="215"/>
    </row>
    <row r="7" spans="2:8" x14ac:dyDescent="0.25">
      <c r="B7" s="186"/>
      <c r="C7" s="274" t="s">
        <v>282</v>
      </c>
      <c r="D7" s="186">
        <f>'Data input'!C48</f>
        <v>0</v>
      </c>
      <c r="E7" s="186">
        <f>'Data input'!D48</f>
        <v>0</v>
      </c>
      <c r="F7" s="186">
        <f>'Data input'!E48</f>
        <v>0</v>
      </c>
      <c r="G7" s="188" t="str">
        <f>'Data input'!G48</f>
        <v>head</v>
      </c>
      <c r="H7" s="185"/>
    </row>
    <row r="8" spans="2:8" x14ac:dyDescent="0.25">
      <c r="B8" s="186"/>
      <c r="C8" s="274" t="s">
        <v>283</v>
      </c>
      <c r="D8" s="186">
        <f>'Data input'!C67</f>
        <v>0</v>
      </c>
      <c r="E8" s="186">
        <f>'Data input'!D67</f>
        <v>0</v>
      </c>
      <c r="F8" s="186">
        <f>'Data input'!E67</f>
        <v>0</v>
      </c>
      <c r="G8" s="188" t="str">
        <f>'Data input'!G67</f>
        <v>head</v>
      </c>
      <c r="H8" s="185"/>
    </row>
    <row r="9" spans="2:8" x14ac:dyDescent="0.25">
      <c r="B9" s="186"/>
      <c r="C9" s="186"/>
      <c r="D9" s="186"/>
      <c r="E9" s="186"/>
      <c r="F9" s="186"/>
      <c r="G9" s="188"/>
      <c r="H9" s="185"/>
    </row>
    <row r="10" spans="2:8" x14ac:dyDescent="0.25">
      <c r="B10" s="187" t="s">
        <v>286</v>
      </c>
      <c r="C10" s="274" t="s">
        <v>277</v>
      </c>
      <c r="D10" s="186">
        <f>'Data input'!C11</f>
        <v>75</v>
      </c>
      <c r="E10" s="186">
        <f>'Data input'!D11</f>
        <v>140</v>
      </c>
      <c r="F10" s="186">
        <f>'Data input'!E11</f>
        <v>250</v>
      </c>
      <c r="G10" s="188" t="str">
        <f>'Data input'!G11</f>
        <v xml:space="preserve">days </v>
      </c>
      <c r="H10" s="215"/>
    </row>
    <row r="11" spans="2:8" x14ac:dyDescent="0.25">
      <c r="B11" s="186"/>
      <c r="C11" s="274" t="s">
        <v>281</v>
      </c>
      <c r="D11" s="186">
        <f>'Data input'!C30</f>
        <v>0</v>
      </c>
      <c r="E11" s="186">
        <f>'Data input'!D30</f>
        <v>0</v>
      </c>
      <c r="F11" s="186">
        <f>'Data input'!E30</f>
        <v>0</v>
      </c>
      <c r="G11" s="188" t="str">
        <f>'Data input'!G30</f>
        <v xml:space="preserve">days </v>
      </c>
      <c r="H11" s="215"/>
    </row>
    <row r="12" spans="2:8" x14ac:dyDescent="0.25">
      <c r="B12" s="186"/>
      <c r="C12" s="274" t="s">
        <v>282</v>
      </c>
      <c r="D12" s="186">
        <f>'Data input'!C49</f>
        <v>0</v>
      </c>
      <c r="E12" s="186">
        <f>'Data input'!D49</f>
        <v>0</v>
      </c>
      <c r="F12" s="186">
        <f>'Data input'!E49</f>
        <v>0</v>
      </c>
      <c r="G12" s="188" t="str">
        <f>'Data input'!G49</f>
        <v xml:space="preserve">days </v>
      </c>
      <c r="H12" s="215"/>
    </row>
    <row r="13" spans="2:8" x14ac:dyDescent="0.25">
      <c r="B13" s="186"/>
      <c r="C13" s="274" t="s">
        <v>283</v>
      </c>
      <c r="D13" s="186">
        <f>'Data input'!C68</f>
        <v>0</v>
      </c>
      <c r="E13" s="186">
        <f>'Data input'!D68</f>
        <v>0</v>
      </c>
      <c r="F13" s="186">
        <f>'Data input'!E68</f>
        <v>0</v>
      </c>
      <c r="G13" s="188" t="str">
        <f>'Data input'!G68</f>
        <v xml:space="preserve">days </v>
      </c>
      <c r="H13" s="215"/>
    </row>
    <row r="14" spans="2:8" x14ac:dyDescent="0.25">
      <c r="B14" s="186"/>
      <c r="C14" s="186"/>
      <c r="D14" s="186"/>
      <c r="E14" s="186"/>
      <c r="F14" s="186"/>
      <c r="G14" s="188"/>
      <c r="H14" s="215"/>
    </row>
    <row r="15" spans="2:8" x14ac:dyDescent="0.25">
      <c r="B15" s="187" t="s">
        <v>107</v>
      </c>
      <c r="C15" s="274" t="s">
        <v>277</v>
      </c>
      <c r="D15" s="186">
        <f>'Data input'!C15</f>
        <v>9.8000000000000007</v>
      </c>
      <c r="E15" s="186">
        <f>'Data input'!D15</f>
        <v>11.7</v>
      </c>
      <c r="F15" s="186">
        <f>'Data input'!E15</f>
        <v>11</v>
      </c>
      <c r="G15" s="188" t="str">
        <f>'Data input'!G15</f>
        <v>kg/head/day</v>
      </c>
      <c r="H15" s="215" t="s">
        <v>108</v>
      </c>
    </row>
    <row r="16" spans="2:8" x14ac:dyDescent="0.25">
      <c r="B16" s="186"/>
      <c r="C16" s="274" t="s">
        <v>281</v>
      </c>
      <c r="D16" s="186">
        <f>'Data input'!C34</f>
        <v>0</v>
      </c>
      <c r="E16" s="186">
        <f>'Data input'!D34</f>
        <v>0</v>
      </c>
      <c r="F16" s="186">
        <f>'Data input'!E34</f>
        <v>0</v>
      </c>
      <c r="G16" s="188" t="str">
        <f>'Data input'!G34</f>
        <v>kg/head/day</v>
      </c>
      <c r="H16" s="185"/>
    </row>
    <row r="17" spans="2:8" x14ac:dyDescent="0.25">
      <c r="B17" s="186"/>
      <c r="C17" s="274" t="s">
        <v>282</v>
      </c>
      <c r="D17" s="186">
        <f>'Data input'!C53</f>
        <v>0</v>
      </c>
      <c r="E17" s="186">
        <f>'Data input'!D53</f>
        <v>0</v>
      </c>
      <c r="F17" s="186">
        <f>'Data input'!E53</f>
        <v>0</v>
      </c>
      <c r="G17" s="188" t="str">
        <f>'Data input'!G53</f>
        <v>kg/head/day</v>
      </c>
      <c r="H17" s="185"/>
    </row>
    <row r="18" spans="2:8" x14ac:dyDescent="0.25">
      <c r="B18" s="186"/>
      <c r="C18" s="274" t="s">
        <v>283</v>
      </c>
      <c r="D18" s="186">
        <f>'Data input'!C72</f>
        <v>0</v>
      </c>
      <c r="E18" s="186">
        <f>'Data input'!D72</f>
        <v>0</v>
      </c>
      <c r="F18" s="186">
        <f>'Data input'!E72</f>
        <v>0</v>
      </c>
      <c r="G18" s="188" t="str">
        <f>'Data input'!G72</f>
        <v>kg/head/day</v>
      </c>
      <c r="H18" s="185"/>
    </row>
    <row r="19" spans="2:8" x14ac:dyDescent="0.25">
      <c r="B19" s="186"/>
      <c r="C19" s="186"/>
      <c r="D19" s="186"/>
      <c r="E19" s="186"/>
      <c r="F19" s="186"/>
      <c r="G19" s="188"/>
      <c r="H19" s="185"/>
    </row>
    <row r="20" spans="2:8" x14ac:dyDescent="0.25">
      <c r="B20" s="187" t="s">
        <v>102</v>
      </c>
      <c r="C20" s="274" t="s">
        <v>277</v>
      </c>
      <c r="D20" s="186">
        <f>'Data input'!C14</f>
        <v>80</v>
      </c>
      <c r="E20" s="186">
        <f>'Data input'!D14</f>
        <v>80</v>
      </c>
      <c r="F20" s="186">
        <f>'Data input'!E14</f>
        <v>80</v>
      </c>
      <c r="G20" s="188" t="str">
        <f>'Data input'!G14</f>
        <v>%</v>
      </c>
      <c r="H20" s="185"/>
    </row>
    <row r="21" spans="2:8" x14ac:dyDescent="0.25">
      <c r="B21" s="186"/>
      <c r="C21" s="274" t="s">
        <v>281</v>
      </c>
      <c r="D21" s="186">
        <f>'Data input'!C33</f>
        <v>0</v>
      </c>
      <c r="E21" s="186">
        <f>'Data input'!D33</f>
        <v>0</v>
      </c>
      <c r="F21" s="186">
        <f>'Data input'!E33</f>
        <v>0</v>
      </c>
      <c r="G21" s="188" t="str">
        <f>'Data input'!G33</f>
        <v>%</v>
      </c>
      <c r="H21" s="185"/>
    </row>
    <row r="22" spans="2:8" x14ac:dyDescent="0.25">
      <c r="B22" s="186"/>
      <c r="C22" s="274" t="s">
        <v>282</v>
      </c>
      <c r="D22" s="186">
        <f>'Data input'!C52</f>
        <v>0</v>
      </c>
      <c r="E22" s="186">
        <f>'Data input'!D52</f>
        <v>0</v>
      </c>
      <c r="F22" s="186">
        <f>'Data input'!E52</f>
        <v>0</v>
      </c>
      <c r="G22" s="188" t="str">
        <f>'Data input'!G52</f>
        <v>%</v>
      </c>
      <c r="H22" s="185"/>
    </row>
    <row r="23" spans="2:8" x14ac:dyDescent="0.25">
      <c r="B23" s="186"/>
      <c r="C23" s="274" t="s">
        <v>283</v>
      </c>
      <c r="D23" s="186">
        <f>'Data input'!C71</f>
        <v>0</v>
      </c>
      <c r="E23" s="186">
        <f>'Data input'!D71</f>
        <v>0</v>
      </c>
      <c r="F23" s="186">
        <f>'Data input'!E71</f>
        <v>0</v>
      </c>
      <c r="G23" s="188" t="str">
        <f>'Data input'!G71</f>
        <v>%</v>
      </c>
      <c r="H23" s="185"/>
    </row>
    <row r="24" spans="2:8" x14ac:dyDescent="0.25">
      <c r="B24" s="186"/>
      <c r="C24" s="186"/>
      <c r="D24" s="186"/>
      <c r="E24" s="186"/>
      <c r="F24" s="186"/>
      <c r="G24" s="186"/>
      <c r="H24" s="185"/>
    </row>
    <row r="25" spans="2:8" x14ac:dyDescent="0.25">
      <c r="B25" s="187" t="s">
        <v>268</v>
      </c>
      <c r="C25" s="186"/>
      <c r="D25" s="186">
        <v>0.08</v>
      </c>
      <c r="E25" s="186">
        <v>0.08</v>
      </c>
      <c r="F25" s="186">
        <v>0.08</v>
      </c>
      <c r="G25" s="188" t="s">
        <v>269</v>
      </c>
      <c r="H25" s="185"/>
    </row>
    <row r="26" spans="2:8" x14ac:dyDescent="0.25">
      <c r="B26" s="186"/>
      <c r="C26" s="186"/>
      <c r="D26" s="186"/>
      <c r="E26" s="186"/>
      <c r="F26" s="186"/>
      <c r="G26" s="186"/>
      <c r="H26" s="185"/>
    </row>
    <row r="27" spans="2:8" x14ac:dyDescent="0.25">
      <c r="B27" s="187" t="s">
        <v>113</v>
      </c>
      <c r="C27" s="274" t="s">
        <v>277</v>
      </c>
      <c r="D27" s="209">
        <f>0.17*D41</f>
        <v>0.30654399999999998</v>
      </c>
      <c r="E27" s="209">
        <f t="shared" ref="E27:F27" si="0">0.17*E41</f>
        <v>0.36597599999999997</v>
      </c>
      <c r="F27" s="209">
        <f t="shared" si="0"/>
        <v>0.34407999999999994</v>
      </c>
      <c r="G27" s="188" t="s">
        <v>114</v>
      </c>
      <c r="H27" s="185"/>
    </row>
    <row r="28" spans="2:8" x14ac:dyDescent="0.25">
      <c r="B28" s="186"/>
      <c r="C28" s="274" t="s">
        <v>281</v>
      </c>
      <c r="D28" s="209">
        <f t="shared" ref="D28:F28" si="1">0.17*D42</f>
        <v>0</v>
      </c>
      <c r="E28" s="209">
        <f t="shared" si="1"/>
        <v>0</v>
      </c>
      <c r="F28" s="209">
        <f t="shared" si="1"/>
        <v>0</v>
      </c>
      <c r="G28" s="186"/>
      <c r="H28" s="185"/>
    </row>
    <row r="29" spans="2:8" x14ac:dyDescent="0.25">
      <c r="B29" s="186"/>
      <c r="C29" s="274" t="s">
        <v>282</v>
      </c>
      <c r="D29" s="209">
        <f t="shared" ref="D29:F29" si="2">0.17*D43</f>
        <v>0</v>
      </c>
      <c r="E29" s="209">
        <f t="shared" si="2"/>
        <v>0</v>
      </c>
      <c r="F29" s="209">
        <f t="shared" si="2"/>
        <v>0</v>
      </c>
      <c r="G29" s="210"/>
      <c r="H29" s="185"/>
    </row>
    <row r="30" spans="2:8" x14ac:dyDescent="0.25">
      <c r="B30" s="186"/>
      <c r="C30" s="274" t="s">
        <v>283</v>
      </c>
      <c r="D30" s="209">
        <f t="shared" ref="D30:F30" si="3">0.17*D44</f>
        <v>0</v>
      </c>
      <c r="E30" s="209">
        <f t="shared" si="3"/>
        <v>0</v>
      </c>
      <c r="F30" s="209">
        <f t="shared" si="3"/>
        <v>0</v>
      </c>
      <c r="G30" s="186"/>
      <c r="H30" s="215"/>
    </row>
    <row r="31" spans="2:8" x14ac:dyDescent="0.25">
      <c r="B31" s="186"/>
      <c r="C31" s="186"/>
      <c r="D31" s="186"/>
      <c r="E31" s="186"/>
      <c r="F31" s="186"/>
      <c r="G31" s="186"/>
      <c r="H31" s="215"/>
    </row>
    <row r="32" spans="2:8" x14ac:dyDescent="0.25">
      <c r="B32" s="187" t="s">
        <v>116</v>
      </c>
      <c r="C32" s="186">
        <f>IF('Data input'!J16&gt;5,'Manure management'!C33,'Manure management'!C34)</f>
        <v>1.4999999999999999E-2</v>
      </c>
      <c r="D32" s="186"/>
      <c r="E32" s="186"/>
      <c r="F32" s="186"/>
      <c r="G32" s="186"/>
      <c r="H32" s="215"/>
    </row>
    <row r="33" spans="2:8" x14ac:dyDescent="0.25">
      <c r="B33" s="188" t="s">
        <v>117</v>
      </c>
      <c r="C33" s="186">
        <v>0.05</v>
      </c>
      <c r="D33" s="186"/>
      <c r="E33" s="209"/>
      <c r="F33" s="209"/>
      <c r="G33" s="188"/>
      <c r="H33" s="215"/>
    </row>
    <row r="34" spans="2:8" x14ac:dyDescent="0.25">
      <c r="B34" s="188" t="s">
        <v>118</v>
      </c>
      <c r="C34" s="186">
        <v>1.4999999999999999E-2</v>
      </c>
      <c r="D34" s="186"/>
      <c r="E34" s="186"/>
      <c r="F34" s="186"/>
      <c r="G34" s="186"/>
      <c r="H34" s="215"/>
    </row>
    <row r="35" spans="2:8" x14ac:dyDescent="0.25">
      <c r="B35" s="186"/>
      <c r="C35" s="186"/>
      <c r="D35" s="186"/>
      <c r="E35" s="186"/>
      <c r="F35" s="186"/>
      <c r="G35" s="186"/>
      <c r="H35" s="215"/>
    </row>
    <row r="36" spans="2:8" x14ac:dyDescent="0.25">
      <c r="B36" s="187" t="s">
        <v>120</v>
      </c>
      <c r="C36" s="186">
        <v>0.66200000000000003</v>
      </c>
      <c r="D36" s="186"/>
      <c r="E36" s="186"/>
      <c r="F36" s="186"/>
      <c r="G36" s="188" t="s">
        <v>121</v>
      </c>
      <c r="H36" s="215"/>
    </row>
    <row r="37" spans="2:8" x14ac:dyDescent="0.25">
      <c r="B37" s="227"/>
      <c r="C37" s="227"/>
      <c r="D37" s="227"/>
      <c r="E37" s="227"/>
      <c r="F37" s="227"/>
      <c r="G37" s="227"/>
      <c r="H37" s="215"/>
    </row>
    <row r="38" spans="2:8" x14ac:dyDescent="0.25">
      <c r="B38" s="220"/>
      <c r="C38" s="220"/>
      <c r="D38" s="220"/>
      <c r="E38" s="220"/>
      <c r="F38" s="220"/>
      <c r="G38" s="220"/>
      <c r="H38" s="215"/>
    </row>
    <row r="39" spans="2:8" x14ac:dyDescent="0.25">
      <c r="B39" s="187" t="s">
        <v>103</v>
      </c>
      <c r="C39" s="187"/>
      <c r="D39" s="186"/>
      <c r="E39" s="186"/>
      <c r="F39" s="186"/>
      <c r="G39" s="186"/>
      <c r="H39" s="215"/>
    </row>
    <row r="40" spans="2:8" x14ac:dyDescent="0.25">
      <c r="B40" s="186"/>
      <c r="C40" s="186"/>
      <c r="D40" s="217" t="s">
        <v>104</v>
      </c>
      <c r="E40" s="186"/>
      <c r="F40" s="186"/>
      <c r="G40" s="186"/>
      <c r="H40" s="215" t="s">
        <v>105</v>
      </c>
    </row>
    <row r="41" spans="2:8" x14ac:dyDescent="0.25">
      <c r="B41" s="186"/>
      <c r="C41" s="274" t="s">
        <v>277</v>
      </c>
      <c r="D41" s="186">
        <f>D15*(1-D20%)*(1-D$25)</f>
        <v>1.8031999999999999</v>
      </c>
      <c r="E41" s="186">
        <f t="shared" ref="D41:F44" si="4">E15*(1-E20%)*(1-E$25)</f>
        <v>2.1527999999999996</v>
      </c>
      <c r="F41" s="186">
        <f t="shared" si="4"/>
        <v>2.0239999999999996</v>
      </c>
      <c r="G41" s="188" t="s">
        <v>65</v>
      </c>
      <c r="H41" s="215"/>
    </row>
    <row r="42" spans="2:8" x14ac:dyDescent="0.25">
      <c r="B42" s="186"/>
      <c r="C42" s="274" t="s">
        <v>281</v>
      </c>
      <c r="D42" s="186">
        <f t="shared" si="4"/>
        <v>0</v>
      </c>
      <c r="E42" s="186">
        <f t="shared" si="4"/>
        <v>0</v>
      </c>
      <c r="F42" s="186">
        <f t="shared" si="4"/>
        <v>0</v>
      </c>
      <c r="G42" s="188" t="s">
        <v>65</v>
      </c>
      <c r="H42" s="215"/>
    </row>
    <row r="43" spans="2:8" x14ac:dyDescent="0.25">
      <c r="B43" s="186"/>
      <c r="C43" s="274" t="s">
        <v>282</v>
      </c>
      <c r="D43" s="186">
        <f t="shared" si="4"/>
        <v>0</v>
      </c>
      <c r="E43" s="186">
        <f t="shared" si="4"/>
        <v>0</v>
      </c>
      <c r="F43" s="186">
        <f t="shared" si="4"/>
        <v>0</v>
      </c>
      <c r="G43" s="188" t="s">
        <v>65</v>
      </c>
      <c r="H43" s="215"/>
    </row>
    <row r="44" spans="2:8" x14ac:dyDescent="0.25">
      <c r="B44" s="186"/>
      <c r="C44" s="274" t="s">
        <v>283</v>
      </c>
      <c r="D44" s="186">
        <f t="shared" si="4"/>
        <v>0</v>
      </c>
      <c r="E44" s="186">
        <f t="shared" si="4"/>
        <v>0</v>
      </c>
      <c r="F44" s="186">
        <f t="shared" si="4"/>
        <v>0</v>
      </c>
      <c r="G44" s="188" t="s">
        <v>65</v>
      </c>
      <c r="H44" s="215"/>
    </row>
    <row r="45" spans="2:8" x14ac:dyDescent="0.25">
      <c r="B45" s="186"/>
      <c r="C45" s="186"/>
      <c r="D45" s="186"/>
      <c r="E45" s="186"/>
      <c r="F45" s="186"/>
      <c r="G45" s="186"/>
      <c r="H45" s="215"/>
    </row>
    <row r="46" spans="2:8" x14ac:dyDescent="0.25">
      <c r="B46" s="187" t="s">
        <v>109</v>
      </c>
      <c r="C46" s="187"/>
      <c r="D46" s="186"/>
      <c r="E46" s="186"/>
      <c r="F46" s="186"/>
      <c r="G46" s="186"/>
      <c r="H46" s="215"/>
    </row>
    <row r="47" spans="2:8" x14ac:dyDescent="0.25">
      <c r="B47" s="186"/>
      <c r="C47" s="186"/>
      <c r="D47" s="187" t="s">
        <v>110</v>
      </c>
      <c r="E47" s="186"/>
      <c r="F47" s="186"/>
      <c r="G47" s="186"/>
      <c r="H47" s="215" t="s">
        <v>111</v>
      </c>
    </row>
    <row r="48" spans="2:8" x14ac:dyDescent="0.25">
      <c r="B48" s="186"/>
      <c r="C48" s="186"/>
      <c r="D48" s="186" t="s">
        <v>112</v>
      </c>
      <c r="E48" s="186"/>
      <c r="F48" s="186"/>
      <c r="G48" s="186"/>
      <c r="H48" s="215"/>
    </row>
    <row r="49" spans="2:8" x14ac:dyDescent="0.25">
      <c r="B49" s="186"/>
      <c r="C49" s="186"/>
      <c r="D49" s="186" t="s">
        <v>115</v>
      </c>
      <c r="E49" s="186"/>
      <c r="F49" s="186"/>
      <c r="G49" s="186"/>
      <c r="H49" s="215"/>
    </row>
    <row r="50" spans="2:8" x14ac:dyDescent="0.25">
      <c r="B50" s="186"/>
      <c r="C50" s="186"/>
      <c r="D50" s="186" t="s">
        <v>119</v>
      </c>
      <c r="E50" s="186"/>
      <c r="F50" s="186"/>
      <c r="G50" s="186"/>
      <c r="H50" s="215"/>
    </row>
    <row r="51" spans="2:8" x14ac:dyDescent="0.25">
      <c r="B51" s="186"/>
      <c r="C51" s="186"/>
      <c r="D51" s="186"/>
      <c r="E51" s="186"/>
      <c r="F51" s="186"/>
      <c r="G51" s="186"/>
      <c r="H51" s="215"/>
    </row>
    <row r="52" spans="2:8" x14ac:dyDescent="0.25">
      <c r="B52" s="186"/>
      <c r="C52" s="274" t="s">
        <v>277</v>
      </c>
      <c r="D52" s="186">
        <f>D41*D27*$C$32*$C$36</f>
        <v>5.4889081981439984E-3</v>
      </c>
      <c r="E52" s="186">
        <f t="shared" ref="D52:F55" si="5">E41*E27*$C$32*$C$36</f>
        <v>7.8235802087039986E-3</v>
      </c>
      <c r="F52" s="186">
        <f t="shared" si="5"/>
        <v>6.9154299455999966E-3</v>
      </c>
      <c r="G52" s="188" t="s">
        <v>65</v>
      </c>
      <c r="H52" s="215"/>
    </row>
    <row r="53" spans="2:8" x14ac:dyDescent="0.25">
      <c r="B53" s="186"/>
      <c r="C53" s="274" t="s">
        <v>281</v>
      </c>
      <c r="D53" s="186">
        <f t="shared" si="5"/>
        <v>0</v>
      </c>
      <c r="E53" s="186">
        <f t="shared" si="5"/>
        <v>0</v>
      </c>
      <c r="F53" s="186">
        <f t="shared" si="5"/>
        <v>0</v>
      </c>
      <c r="G53" s="188" t="s">
        <v>65</v>
      </c>
      <c r="H53" s="215"/>
    </row>
    <row r="54" spans="2:8" x14ac:dyDescent="0.25">
      <c r="B54" s="186"/>
      <c r="C54" s="274" t="s">
        <v>282</v>
      </c>
      <c r="D54" s="186">
        <f t="shared" si="5"/>
        <v>0</v>
      </c>
      <c r="E54" s="186">
        <f t="shared" si="5"/>
        <v>0</v>
      </c>
      <c r="F54" s="186">
        <f t="shared" si="5"/>
        <v>0</v>
      </c>
      <c r="G54" s="188" t="s">
        <v>65</v>
      </c>
      <c r="H54" s="215"/>
    </row>
    <row r="55" spans="2:8" x14ac:dyDescent="0.25">
      <c r="B55" s="186"/>
      <c r="C55" s="274" t="s">
        <v>283</v>
      </c>
      <c r="D55" s="186">
        <f t="shared" si="5"/>
        <v>0</v>
      </c>
      <c r="E55" s="186">
        <f t="shared" si="5"/>
        <v>0</v>
      </c>
      <c r="F55" s="186">
        <f t="shared" si="5"/>
        <v>0</v>
      </c>
      <c r="G55" s="188" t="s">
        <v>65</v>
      </c>
      <c r="H55" s="185"/>
    </row>
    <row r="56" spans="2:8" x14ac:dyDescent="0.25">
      <c r="B56" s="186"/>
      <c r="C56" s="186"/>
      <c r="D56" s="186"/>
      <c r="E56" s="186"/>
      <c r="F56" s="186"/>
      <c r="G56" s="186"/>
      <c r="H56" s="215"/>
    </row>
    <row r="57" spans="2:8" x14ac:dyDescent="0.25">
      <c r="B57" s="187" t="s">
        <v>270</v>
      </c>
      <c r="C57" s="187"/>
      <c r="D57" s="187" t="s">
        <v>284</v>
      </c>
      <c r="E57" s="186"/>
      <c r="F57" s="186"/>
      <c r="G57" s="186"/>
      <c r="H57" s="215" t="s">
        <v>122</v>
      </c>
    </row>
    <row r="58" spans="2:8" x14ac:dyDescent="0.25">
      <c r="B58" s="186"/>
      <c r="C58" s="186"/>
      <c r="D58" s="186" t="s">
        <v>289</v>
      </c>
      <c r="E58" s="186"/>
      <c r="F58" s="186"/>
      <c r="G58" s="186"/>
      <c r="H58" s="185"/>
    </row>
    <row r="59" spans="2:8" x14ac:dyDescent="0.25">
      <c r="B59" s="186"/>
      <c r="C59" s="274" t="s">
        <v>277</v>
      </c>
      <c r="D59" s="275">
        <f>D10*D5*D52*10^-6</f>
        <v>8.2333622972159976E-3</v>
      </c>
      <c r="E59" s="275">
        <f t="shared" ref="E59:F59" si="6">E10*E5*E52*10^-6</f>
        <v>1.6429518438278393E-2</v>
      </c>
      <c r="F59" s="275">
        <f t="shared" si="6"/>
        <v>1.7288574863999991E-2</v>
      </c>
      <c r="G59" s="188" t="s">
        <v>287</v>
      </c>
      <c r="H59" s="215"/>
    </row>
    <row r="60" spans="2:8" x14ac:dyDescent="0.25">
      <c r="B60" s="186"/>
      <c r="C60" s="274" t="s">
        <v>281</v>
      </c>
      <c r="D60" s="275">
        <f>D11*D6*D53*10^-6</f>
        <v>0</v>
      </c>
      <c r="E60" s="275">
        <f t="shared" ref="E60:F60" si="7">E11*E6*E53*10^-6</f>
        <v>0</v>
      </c>
      <c r="F60" s="275">
        <f t="shared" si="7"/>
        <v>0</v>
      </c>
      <c r="G60" s="188" t="s">
        <v>287</v>
      </c>
      <c r="H60" s="215"/>
    </row>
    <row r="61" spans="2:8" x14ac:dyDescent="0.25">
      <c r="B61" s="186"/>
      <c r="C61" s="274" t="s">
        <v>282</v>
      </c>
      <c r="D61" s="275">
        <f>D12*D7*D54*10^-6</f>
        <v>0</v>
      </c>
      <c r="E61" s="275">
        <f t="shared" ref="E61:F61" si="8">E12*E7*E54*10^-6</f>
        <v>0</v>
      </c>
      <c r="F61" s="275">
        <f t="shared" si="8"/>
        <v>0</v>
      </c>
      <c r="G61" s="188" t="s">
        <v>287</v>
      </c>
      <c r="H61" s="185"/>
    </row>
    <row r="62" spans="2:8" x14ac:dyDescent="0.25">
      <c r="B62" s="186"/>
      <c r="C62" s="274" t="s">
        <v>283</v>
      </c>
      <c r="D62" s="275">
        <f>D13*D8*D55*10^-6</f>
        <v>0</v>
      </c>
      <c r="E62" s="275">
        <f t="shared" ref="E62:F62" si="9">E13*E8*E55*10^-6</f>
        <v>0</v>
      </c>
      <c r="F62" s="275">
        <f t="shared" si="9"/>
        <v>0</v>
      </c>
      <c r="G62" s="188" t="s">
        <v>287</v>
      </c>
      <c r="H62" s="215"/>
    </row>
    <row r="63" spans="2:8" x14ac:dyDescent="0.25">
      <c r="B63" s="186"/>
      <c r="C63" s="186"/>
      <c r="D63" s="211"/>
      <c r="E63" s="211"/>
      <c r="F63" s="211"/>
      <c r="G63" s="188"/>
      <c r="H63" s="215"/>
    </row>
    <row r="64" spans="2:8" x14ac:dyDescent="0.25">
      <c r="B64" s="187" t="s">
        <v>98</v>
      </c>
      <c r="C64" s="212">
        <f>SUM(D59:F62)</f>
        <v>4.1951455599494383E-2</v>
      </c>
      <c r="D64" s="186"/>
      <c r="E64" s="186"/>
      <c r="F64" s="186"/>
      <c r="G64" s="188" t="s">
        <v>123</v>
      </c>
      <c r="H64" s="215"/>
    </row>
    <row r="65" spans="2:8" x14ac:dyDescent="0.25">
      <c r="B65" s="187" t="s">
        <v>98</v>
      </c>
      <c r="C65" s="212">
        <f>C64*21</f>
        <v>0.88098056758938204</v>
      </c>
      <c r="D65" s="186"/>
      <c r="E65" s="186"/>
      <c r="F65" s="186"/>
      <c r="G65" s="188" t="s">
        <v>165</v>
      </c>
      <c r="H65" s="215"/>
    </row>
    <row r="66" spans="2:8" x14ac:dyDescent="0.25">
      <c r="B66" s="218" t="s">
        <v>98</v>
      </c>
      <c r="C66" s="219">
        <f>C65*10^3</f>
        <v>880.98056758938208</v>
      </c>
      <c r="D66" s="220"/>
      <c r="E66" s="220"/>
      <c r="F66" s="220"/>
      <c r="G66" s="221" t="s">
        <v>124</v>
      </c>
      <c r="H66" s="222"/>
    </row>
  </sheetData>
  <sheetProtection sheet="1" objects="1" scenarios="1"/>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showGridLines="0" zoomScale="90" zoomScaleNormal="90" workbookViewId="0"/>
  </sheetViews>
  <sheetFormatPr defaultColWidth="8.85546875" defaultRowHeight="15.75" x14ac:dyDescent="0.25"/>
  <cols>
    <col min="1" max="1" width="3.28515625" style="73" customWidth="1"/>
    <col min="2" max="2" width="41.140625" style="73" customWidth="1"/>
    <col min="3" max="3" width="11" style="73" customWidth="1"/>
    <col min="4" max="4" width="11.85546875" style="73" customWidth="1"/>
    <col min="5" max="5" width="13.42578125" style="73" customWidth="1"/>
    <col min="6" max="6" width="11.85546875" style="73" customWidth="1"/>
    <col min="7" max="7" width="17.7109375" style="73" customWidth="1"/>
    <col min="8" max="8" width="8.7109375" style="77" customWidth="1"/>
    <col min="9" max="9" width="30.28515625" style="73" customWidth="1"/>
    <col min="10" max="10" width="10.28515625" style="73" customWidth="1"/>
    <col min="11" max="11" width="11" style="73" customWidth="1"/>
    <col min="12" max="13" width="10.42578125" style="73" customWidth="1"/>
    <col min="14" max="14" width="19.28515625" style="73" customWidth="1"/>
    <col min="15" max="15" width="19" style="73" customWidth="1"/>
    <col min="16" max="16384" width="8.85546875" style="73"/>
  </cols>
  <sheetData>
    <row r="1" spans="2:15" ht="29.45" customHeight="1" x14ac:dyDescent="0.3">
      <c r="B1" s="83" t="s">
        <v>125</v>
      </c>
      <c r="C1" s="83"/>
    </row>
    <row r="3" spans="2:15" x14ac:dyDescent="0.25">
      <c r="B3" s="248" t="s">
        <v>89</v>
      </c>
      <c r="C3" s="248" t="s">
        <v>161</v>
      </c>
      <c r="D3" s="248" t="str">
        <f>'Data input'!C9</f>
        <v>Domestic</v>
      </c>
      <c r="E3" s="248" t="str">
        <f>'Data input'!D9</f>
        <v>Export</v>
      </c>
      <c r="F3" s="248" t="str">
        <f>'Data input'!E9</f>
        <v>Japan ox</v>
      </c>
      <c r="G3" s="253" t="str">
        <f>'Data input'!G9</f>
        <v>Units</v>
      </c>
      <c r="I3" s="247"/>
      <c r="J3" s="248" t="s">
        <v>161</v>
      </c>
      <c r="K3" s="248" t="str">
        <f>'Data input'!C9</f>
        <v>Domestic</v>
      </c>
      <c r="L3" s="248" t="str">
        <f>'Data input'!D9</f>
        <v>Export</v>
      </c>
      <c r="M3" s="248" t="str">
        <f>'Data input'!E9</f>
        <v>Japan ox</v>
      </c>
      <c r="N3" s="248" t="str">
        <f>'Data input'!G9</f>
        <v>Units</v>
      </c>
      <c r="O3" s="249" t="s">
        <v>71</v>
      </c>
    </row>
    <row r="4" spans="2:15" x14ac:dyDescent="0.25">
      <c r="B4" s="237"/>
      <c r="C4" s="237"/>
      <c r="D4" s="237"/>
      <c r="E4" s="237"/>
      <c r="F4" s="237"/>
      <c r="G4" s="237"/>
      <c r="I4" s="184"/>
      <c r="J4" s="184"/>
      <c r="K4" s="184"/>
      <c r="L4" s="184"/>
      <c r="M4" s="184"/>
      <c r="N4" s="184"/>
      <c r="O4" s="229"/>
    </row>
    <row r="5" spans="2:15" x14ac:dyDescent="0.25">
      <c r="B5" s="236" t="s">
        <v>271</v>
      </c>
      <c r="C5" s="276" t="s">
        <v>277</v>
      </c>
      <c r="D5" s="238">
        <f>'Enteric fermentation'!G40</f>
        <v>0.22234240000000005</v>
      </c>
      <c r="E5" s="238">
        <f>'Enteric fermentation'!G41</f>
        <v>0.26544960000000001</v>
      </c>
      <c r="F5" s="238">
        <f>'Enteric fermentation'!G42</f>
        <v>0.24956800000000004</v>
      </c>
      <c r="G5" s="239" t="s">
        <v>65</v>
      </c>
      <c r="I5" s="236" t="s">
        <v>126</v>
      </c>
      <c r="J5" s="237"/>
      <c r="K5" s="236" t="s">
        <v>127</v>
      </c>
      <c r="L5" s="237"/>
      <c r="M5" s="237"/>
      <c r="N5" s="237"/>
      <c r="O5" s="213" t="s">
        <v>128</v>
      </c>
    </row>
    <row r="6" spans="2:15" x14ac:dyDescent="0.25">
      <c r="B6" s="237"/>
      <c r="C6" s="276" t="s">
        <v>281</v>
      </c>
      <c r="D6" s="238">
        <f>'Enteric fermentation'!G83</f>
        <v>0</v>
      </c>
      <c r="E6" s="238">
        <f>'Enteric fermentation'!G84</f>
        <v>0</v>
      </c>
      <c r="F6" s="238">
        <f>'Enteric fermentation'!G85</f>
        <v>0</v>
      </c>
      <c r="G6" s="239" t="s">
        <v>65</v>
      </c>
      <c r="I6" s="237"/>
      <c r="J6" s="276" t="s">
        <v>277</v>
      </c>
      <c r="K6" s="238">
        <f>D5*6.25</f>
        <v>1.3896400000000004</v>
      </c>
      <c r="L6" s="238">
        <f t="shared" ref="K6:M9" si="0">E5*6.25</f>
        <v>1.65906</v>
      </c>
      <c r="M6" s="238">
        <f t="shared" si="0"/>
        <v>1.5598000000000003</v>
      </c>
      <c r="N6" s="239" t="s">
        <v>65</v>
      </c>
      <c r="O6" s="214"/>
    </row>
    <row r="7" spans="2:15" x14ac:dyDescent="0.25">
      <c r="B7" s="237"/>
      <c r="C7" s="276" t="s">
        <v>282</v>
      </c>
      <c r="D7" s="238">
        <f>'Enteric fermentation'!G126</f>
        <v>0</v>
      </c>
      <c r="E7" s="238">
        <f>'Enteric fermentation'!G127</f>
        <v>0</v>
      </c>
      <c r="F7" s="238">
        <f>'Enteric fermentation'!G128</f>
        <v>0</v>
      </c>
      <c r="G7" s="239" t="s">
        <v>65</v>
      </c>
      <c r="I7" s="237"/>
      <c r="J7" s="276" t="s">
        <v>281</v>
      </c>
      <c r="K7" s="238">
        <f t="shared" si="0"/>
        <v>0</v>
      </c>
      <c r="L7" s="238">
        <f t="shared" si="0"/>
        <v>0</v>
      </c>
      <c r="M7" s="238">
        <f t="shared" si="0"/>
        <v>0</v>
      </c>
      <c r="N7" s="239" t="s">
        <v>65</v>
      </c>
      <c r="O7" s="214"/>
    </row>
    <row r="8" spans="2:15" x14ac:dyDescent="0.25">
      <c r="B8" s="237"/>
      <c r="C8" s="276" t="s">
        <v>283</v>
      </c>
      <c r="D8" s="238">
        <f>'Enteric fermentation'!G169</f>
        <v>0</v>
      </c>
      <c r="E8" s="238">
        <f>'Enteric fermentation'!G170</f>
        <v>0</v>
      </c>
      <c r="F8" s="238">
        <f>'Enteric fermentation'!G171</f>
        <v>0</v>
      </c>
      <c r="G8" s="239" t="s">
        <v>65</v>
      </c>
      <c r="I8" s="237"/>
      <c r="J8" s="276" t="s">
        <v>282</v>
      </c>
      <c r="K8" s="238">
        <f t="shared" si="0"/>
        <v>0</v>
      </c>
      <c r="L8" s="238">
        <f t="shared" si="0"/>
        <v>0</v>
      </c>
      <c r="M8" s="238">
        <f t="shared" si="0"/>
        <v>0</v>
      </c>
      <c r="N8" s="239" t="s">
        <v>65</v>
      </c>
      <c r="O8" s="214"/>
    </row>
    <row r="9" spans="2:15" x14ac:dyDescent="0.25">
      <c r="B9" s="237"/>
      <c r="C9" s="237"/>
      <c r="D9" s="237"/>
      <c r="E9" s="237"/>
      <c r="F9" s="237"/>
      <c r="G9" s="237"/>
      <c r="I9" s="237"/>
      <c r="J9" s="276" t="s">
        <v>283</v>
      </c>
      <c r="K9" s="238">
        <f t="shared" si="0"/>
        <v>0</v>
      </c>
      <c r="L9" s="238">
        <f t="shared" si="0"/>
        <v>0</v>
      </c>
      <c r="M9" s="238">
        <f t="shared" si="0"/>
        <v>0</v>
      </c>
      <c r="N9" s="239" t="s">
        <v>65</v>
      </c>
      <c r="O9" s="214"/>
    </row>
    <row r="10" spans="2:15" x14ac:dyDescent="0.25">
      <c r="B10" s="236" t="s">
        <v>102</v>
      </c>
      <c r="C10" s="276" t="s">
        <v>277</v>
      </c>
      <c r="D10" s="237">
        <f>'Data input'!C14</f>
        <v>80</v>
      </c>
      <c r="E10" s="237">
        <f>'Data input'!D14</f>
        <v>80</v>
      </c>
      <c r="F10" s="237">
        <f>'Data input'!E14</f>
        <v>80</v>
      </c>
      <c r="G10" s="239" t="str">
        <f>'Data input'!G14</f>
        <v>%</v>
      </c>
      <c r="I10" s="237"/>
      <c r="J10" s="237"/>
      <c r="K10" s="237"/>
      <c r="L10" s="237"/>
      <c r="M10" s="237"/>
      <c r="N10" s="237"/>
      <c r="O10" s="214"/>
    </row>
    <row r="11" spans="2:15" x14ac:dyDescent="0.25">
      <c r="B11" s="237"/>
      <c r="C11" s="276" t="s">
        <v>281</v>
      </c>
      <c r="D11" s="237">
        <f>'Data input'!C33</f>
        <v>0</v>
      </c>
      <c r="E11" s="237">
        <f>'Data input'!D33</f>
        <v>0</v>
      </c>
      <c r="F11" s="237">
        <f>'Data input'!E33</f>
        <v>0</v>
      </c>
      <c r="G11" s="239" t="str">
        <f>'Data input'!G33</f>
        <v>%</v>
      </c>
      <c r="I11" s="236" t="s">
        <v>129</v>
      </c>
      <c r="J11" s="237"/>
      <c r="K11" s="84" t="s">
        <v>130</v>
      </c>
      <c r="L11" s="237"/>
      <c r="M11" s="237"/>
      <c r="N11" s="237"/>
      <c r="O11" s="213" t="s">
        <v>131</v>
      </c>
    </row>
    <row r="12" spans="2:15" x14ac:dyDescent="0.25">
      <c r="B12" s="237"/>
      <c r="C12" s="276" t="s">
        <v>282</v>
      </c>
      <c r="D12" s="237">
        <f>'Data input'!C52</f>
        <v>0</v>
      </c>
      <c r="E12" s="237">
        <f>'Data input'!D52</f>
        <v>0</v>
      </c>
      <c r="F12" s="237">
        <f>'Data input'!E52</f>
        <v>0</v>
      </c>
      <c r="G12" s="239" t="str">
        <f>'Data input'!G52</f>
        <v>%</v>
      </c>
      <c r="I12" s="237"/>
      <c r="J12" s="276" t="s">
        <v>277</v>
      </c>
      <c r="K12" s="240">
        <f>(0.3*(K6*(1-((D10+10)/100)))+0.105*(D15*'Enteric fermentation'!C8*0.008)+(0.0152*'Enteric fermentation'!C8))/6.25</f>
        <v>4.6039302400000003E-2</v>
      </c>
      <c r="L12" s="240">
        <f>(0.3*(L6*(1-((E10+10)/100)))+0.105*(E15*'Enteric fermentation'!D8*0.008)+(0.0152*'Enteric fermentation'!D8))/6.25</f>
        <v>5.4965289599999995E-2</v>
      </c>
      <c r="M12" s="240">
        <f>(0.3*(M6*(1-((F10+10)/100)))+0.105*(F15*'Enteric fermentation'!E8*0.008)+(0.0152*'Enteric fermentation'!E8))/6.25</f>
        <v>5.1676767999999991E-2</v>
      </c>
      <c r="N12" s="239" t="s">
        <v>65</v>
      </c>
      <c r="O12" s="214"/>
    </row>
    <row r="13" spans="2:15" x14ac:dyDescent="0.25">
      <c r="B13" s="237"/>
      <c r="C13" s="276" t="s">
        <v>283</v>
      </c>
      <c r="D13" s="237">
        <f>'Data input'!C71</f>
        <v>0</v>
      </c>
      <c r="E13" s="237">
        <f>'Data input'!D71</f>
        <v>0</v>
      </c>
      <c r="F13" s="237">
        <f>'Data input'!E71</f>
        <v>0</v>
      </c>
      <c r="G13" s="239" t="str">
        <f>'Data input'!G71</f>
        <v>%</v>
      </c>
      <c r="I13" s="237"/>
      <c r="J13" s="276" t="s">
        <v>281</v>
      </c>
      <c r="K13" s="240">
        <f>(0.3*(K7*(1-((D11+10)/100)))+0.105*(D16*'Enteric fermentation'!C51*0.008)+(0.0152*'Enteric fermentation'!C51))/6.25</f>
        <v>0</v>
      </c>
      <c r="L13" s="240">
        <f>(0.3*(L7*(1-((E11+10)/100)))+0.105*(E16*'Enteric fermentation'!D51*0.008)+(0.0152*'Enteric fermentation'!D51))/6.25</f>
        <v>0</v>
      </c>
      <c r="M13" s="240">
        <f>(0.3*(M7*(1-((F11+10)/100)))+0.105*(F16*'Enteric fermentation'!E51*0.008)+(0.0152*'Enteric fermentation'!E51))/6.25</f>
        <v>0</v>
      </c>
      <c r="N13" s="239" t="s">
        <v>65</v>
      </c>
      <c r="O13" s="214"/>
    </row>
    <row r="14" spans="2:15" x14ac:dyDescent="0.25">
      <c r="B14" s="237"/>
      <c r="C14" s="237"/>
      <c r="D14" s="237"/>
      <c r="E14" s="237"/>
      <c r="F14" s="237"/>
      <c r="G14" s="237"/>
      <c r="I14" s="237"/>
      <c r="J14" s="276" t="s">
        <v>282</v>
      </c>
      <c r="K14" s="240">
        <f>(0.3*(K8*(1-((D12+10)/100)))+0.105*(D17*'Enteric fermentation'!C94*0.008)+(0.0152*'Enteric fermentation'!C94))/6.25</f>
        <v>0</v>
      </c>
      <c r="L14" s="240">
        <f>(0.3*(L8*(1-((E12+10)/100)))+0.105*(E17*'Enteric fermentation'!D94*0.008)+(0.0152*'Enteric fermentation'!D94))/6.25</f>
        <v>0</v>
      </c>
      <c r="M14" s="240">
        <f>(0.3*(M8*(1-((F12+10)/100)))+0.105*(F17*'Enteric fermentation'!E94*0.008)+(0.0152*'Enteric fermentation'!E94))/6.25</f>
        <v>0</v>
      </c>
      <c r="N14" s="239" t="s">
        <v>65</v>
      </c>
      <c r="O14" s="214"/>
    </row>
    <row r="15" spans="2:15" x14ac:dyDescent="0.25">
      <c r="B15" s="236" t="s">
        <v>62</v>
      </c>
      <c r="C15" s="276" t="s">
        <v>277</v>
      </c>
      <c r="D15" s="250">
        <f>0.1604*D10-1.037</f>
        <v>11.794999999999998</v>
      </c>
      <c r="E15" s="250">
        <f t="shared" ref="E15:F15" si="1">0.1604*E10-1.037</f>
        <v>11.794999999999998</v>
      </c>
      <c r="F15" s="250">
        <f t="shared" si="1"/>
        <v>11.794999999999998</v>
      </c>
      <c r="G15" s="237"/>
      <c r="I15" s="237"/>
      <c r="J15" s="276" t="s">
        <v>283</v>
      </c>
      <c r="K15" s="240">
        <f>(0.3*(K9*(1-((D13+10)/100)))+0.105*(D18*'Enteric fermentation'!C137*0.008)+(0.0152*'Enteric fermentation'!C137))/6.25</f>
        <v>0</v>
      </c>
      <c r="L15" s="240">
        <f>(0.3*(L9*(1-((E13+10)/100)))+0.105*(E18*'Enteric fermentation'!D137*0.008)+(0.0152*'Enteric fermentation'!D137))/6.25</f>
        <v>0</v>
      </c>
      <c r="M15" s="240">
        <f>(0.3*(M9*(1-((F13+10)/100)))+0.105*(F18*'Enteric fermentation'!E137*0.008)+(0.0152*'Enteric fermentation'!E137))/6.25</f>
        <v>0</v>
      </c>
      <c r="N15" s="239" t="s">
        <v>65</v>
      </c>
      <c r="O15" s="214"/>
    </row>
    <row r="16" spans="2:15" x14ac:dyDescent="0.25">
      <c r="B16" s="237"/>
      <c r="C16" s="276" t="s">
        <v>281</v>
      </c>
      <c r="D16" s="250">
        <f>IF(D11=0,0,(0.1604*D11-1.037))</f>
        <v>0</v>
      </c>
      <c r="E16" s="250">
        <f t="shared" ref="E16:F16" si="2">IF(E11=0,0,(0.1604*E11-1.037))</f>
        <v>0</v>
      </c>
      <c r="F16" s="250">
        <f t="shared" si="2"/>
        <v>0</v>
      </c>
      <c r="G16" s="237"/>
      <c r="I16" s="237"/>
      <c r="J16" s="237"/>
      <c r="K16" s="237"/>
      <c r="L16" s="237"/>
      <c r="M16" s="237"/>
      <c r="N16" s="237"/>
      <c r="O16" s="214"/>
    </row>
    <row r="17" spans="2:15" x14ac:dyDescent="0.25">
      <c r="B17" s="237"/>
      <c r="C17" s="276" t="s">
        <v>282</v>
      </c>
      <c r="D17" s="250">
        <f t="shared" ref="D17:F17" si="3">IF(D12=0,0,(0.1604*D12-1.037))</f>
        <v>0</v>
      </c>
      <c r="E17" s="250">
        <f t="shared" si="3"/>
        <v>0</v>
      </c>
      <c r="F17" s="250">
        <f t="shared" si="3"/>
        <v>0</v>
      </c>
      <c r="G17" s="237"/>
      <c r="I17" s="236" t="s">
        <v>132</v>
      </c>
      <c r="J17" s="237"/>
      <c r="K17" s="84" t="s">
        <v>140</v>
      </c>
      <c r="L17" s="237"/>
      <c r="M17" s="237"/>
      <c r="N17" s="237"/>
      <c r="O17" s="213" t="s">
        <v>144</v>
      </c>
    </row>
    <row r="18" spans="2:15" x14ac:dyDescent="0.25">
      <c r="B18" s="237"/>
      <c r="C18" s="276" t="s">
        <v>283</v>
      </c>
      <c r="D18" s="250">
        <f t="shared" ref="D18:F18" si="4">IF(D13=0,0,(0.1604*D13-1.037))</f>
        <v>0</v>
      </c>
      <c r="E18" s="250">
        <f t="shared" si="4"/>
        <v>0</v>
      </c>
      <c r="F18" s="250">
        <f t="shared" si="4"/>
        <v>0</v>
      </c>
      <c r="G18" s="237"/>
      <c r="I18" s="237"/>
      <c r="J18" s="276" t="s">
        <v>277</v>
      </c>
      <c r="K18" s="240">
        <f t="shared" ref="K18:M21" si="5">IF(D35=0,0,((0.212-0.008*(K25-2)-((0.14-0.008*(K25-2))/(1+EXP(-6*(D25-0.4))))*(D30*0.92))/6.25))</f>
        <v>6.8898824532592773E-3</v>
      </c>
      <c r="L18" s="240">
        <f t="shared" si="5"/>
        <v>5.1795796094490235E-3</v>
      </c>
      <c r="M18" s="240">
        <f t="shared" si="5"/>
        <v>1.0056415158310262E-2</v>
      </c>
      <c r="N18" s="239" t="s">
        <v>65</v>
      </c>
      <c r="O18" s="214"/>
    </row>
    <row r="19" spans="2:15" x14ac:dyDescent="0.25">
      <c r="B19" s="237"/>
      <c r="C19" s="228"/>
      <c r="D19" s="250"/>
      <c r="E19" s="250"/>
      <c r="F19" s="250"/>
      <c r="G19" s="237"/>
      <c r="I19" s="237"/>
      <c r="J19" s="276" t="s">
        <v>281</v>
      </c>
      <c r="K19" s="240">
        <f t="shared" si="5"/>
        <v>0</v>
      </c>
      <c r="L19" s="240">
        <f t="shared" si="5"/>
        <v>0</v>
      </c>
      <c r="M19" s="240">
        <f t="shared" si="5"/>
        <v>0</v>
      </c>
      <c r="N19" s="239" t="s">
        <v>65</v>
      </c>
      <c r="O19" s="214"/>
    </row>
    <row r="20" spans="2:15" x14ac:dyDescent="0.25">
      <c r="B20" s="236" t="s">
        <v>134</v>
      </c>
      <c r="C20" s="276" t="s">
        <v>277</v>
      </c>
      <c r="D20" s="250">
        <f>'Data input'!C12</f>
        <v>360</v>
      </c>
      <c r="E20" s="250">
        <f>'Data input'!D12</f>
        <v>490</v>
      </c>
      <c r="F20" s="250">
        <f>'Data input'!E12</f>
        <v>565</v>
      </c>
      <c r="G20" s="251" t="str">
        <f>'Data input'!G12</f>
        <v>kg/head</v>
      </c>
      <c r="I20" s="237"/>
      <c r="J20" s="276" t="s">
        <v>282</v>
      </c>
      <c r="K20" s="240">
        <f t="shared" si="5"/>
        <v>0</v>
      </c>
      <c r="L20" s="240">
        <f t="shared" si="5"/>
        <v>0</v>
      </c>
      <c r="M20" s="240">
        <f t="shared" si="5"/>
        <v>0</v>
      </c>
      <c r="N20" s="239" t="s">
        <v>65</v>
      </c>
      <c r="O20" s="214"/>
    </row>
    <row r="21" spans="2:15" x14ac:dyDescent="0.25">
      <c r="B21" s="237"/>
      <c r="C21" s="276" t="s">
        <v>281</v>
      </c>
      <c r="D21" s="250">
        <f>'Data input'!C31</f>
        <v>0</v>
      </c>
      <c r="E21" s="250">
        <f>'Data input'!D31</f>
        <v>0</v>
      </c>
      <c r="F21" s="250">
        <f>'Data input'!E31</f>
        <v>0</v>
      </c>
      <c r="G21" s="251" t="str">
        <f>'Data input'!G31</f>
        <v>kg/head</v>
      </c>
      <c r="I21" s="237"/>
      <c r="J21" s="276" t="s">
        <v>283</v>
      </c>
      <c r="K21" s="240">
        <f t="shared" si="5"/>
        <v>0</v>
      </c>
      <c r="L21" s="240">
        <f t="shared" si="5"/>
        <v>0</v>
      </c>
      <c r="M21" s="240">
        <f t="shared" si="5"/>
        <v>0</v>
      </c>
      <c r="N21" s="239" t="s">
        <v>65</v>
      </c>
      <c r="O21" s="214"/>
    </row>
    <row r="22" spans="2:15" x14ac:dyDescent="0.25">
      <c r="B22" s="237"/>
      <c r="C22" s="276" t="s">
        <v>282</v>
      </c>
      <c r="D22" s="250">
        <f>'Data input'!C50</f>
        <v>0</v>
      </c>
      <c r="E22" s="250">
        <f>'Data input'!D50</f>
        <v>0</v>
      </c>
      <c r="F22" s="250">
        <f>'Data input'!E50</f>
        <v>0</v>
      </c>
      <c r="G22" s="251" t="str">
        <f>'Data input'!G50</f>
        <v>kg/head</v>
      </c>
      <c r="I22" s="237"/>
      <c r="J22" s="237"/>
      <c r="K22" s="237"/>
      <c r="L22" s="237"/>
      <c r="M22" s="237"/>
      <c r="N22" s="237"/>
      <c r="O22" s="214"/>
    </row>
    <row r="23" spans="2:15" x14ac:dyDescent="0.25">
      <c r="B23" s="237"/>
      <c r="C23" s="276" t="s">
        <v>283</v>
      </c>
      <c r="D23" s="250">
        <f>'Data input'!C69</f>
        <v>0</v>
      </c>
      <c r="E23" s="250">
        <f>'Data input'!D69</f>
        <v>0</v>
      </c>
      <c r="F23" s="250">
        <f>'Data input'!E69</f>
        <v>0</v>
      </c>
      <c r="G23" s="251" t="str">
        <f>'Data input'!G69</f>
        <v>kg/head</v>
      </c>
      <c r="I23" s="237"/>
      <c r="J23" s="237"/>
      <c r="K23" s="237"/>
      <c r="L23" s="237"/>
      <c r="M23" s="237"/>
      <c r="N23" s="237"/>
      <c r="O23" s="214"/>
    </row>
    <row r="24" spans="2:15" x14ac:dyDescent="0.25">
      <c r="B24" s="237"/>
      <c r="C24" s="228"/>
      <c r="D24" s="250"/>
      <c r="E24" s="250"/>
      <c r="F24" s="250"/>
      <c r="G24" s="237"/>
      <c r="I24" s="237" t="s">
        <v>135</v>
      </c>
      <c r="J24" s="236"/>
      <c r="K24" s="84" t="s">
        <v>133</v>
      </c>
      <c r="L24" s="237"/>
      <c r="M24" s="237"/>
      <c r="N24" s="237"/>
      <c r="O24" s="213" t="s">
        <v>302</v>
      </c>
    </row>
    <row r="25" spans="2:15" x14ac:dyDescent="0.25">
      <c r="B25" s="236" t="s">
        <v>136</v>
      </c>
      <c r="C25" s="276" t="s">
        <v>277</v>
      </c>
      <c r="D25" s="238">
        <f>D20/$C$55</f>
        <v>0.6</v>
      </c>
      <c r="E25" s="238">
        <f>E20/$C$55</f>
        <v>0.81666666666666665</v>
      </c>
      <c r="F25" s="238">
        <f>F20/$C$55</f>
        <v>0.94166666666666665</v>
      </c>
      <c r="G25" s="237"/>
      <c r="I25" s="237"/>
      <c r="J25" s="276" t="s">
        <v>277</v>
      </c>
      <c r="K25" s="238">
        <f>'Enteric fermentation'!C8/(1.185+0.00454*D20-0.0000026*D20^2+(0.315*0))^2</f>
        <v>1.5902615359985774</v>
      </c>
      <c r="L25" s="238">
        <f>'Enteric fermentation'!D8/(1.185+0.00454*E20-0.0000026*E20^2+(0.315*0))^2</f>
        <v>1.5080975333432542</v>
      </c>
      <c r="M25" s="238">
        <f>'Enteric fermentation'!E8/(1.185+0.00454*F20-0.0000026*F20^2+(0.315*0))^2</f>
        <v>1.2900091026489837</v>
      </c>
      <c r="N25" s="237"/>
      <c r="O25" s="213"/>
    </row>
    <row r="26" spans="2:15" x14ac:dyDescent="0.25">
      <c r="B26" s="237"/>
      <c r="C26" s="276" t="s">
        <v>281</v>
      </c>
      <c r="D26" s="238">
        <f t="shared" ref="D26:F28" si="6">D21/$C$55</f>
        <v>0</v>
      </c>
      <c r="E26" s="238">
        <f t="shared" si="6"/>
        <v>0</v>
      </c>
      <c r="F26" s="238">
        <f t="shared" si="6"/>
        <v>0</v>
      </c>
      <c r="G26" s="237"/>
      <c r="I26" s="237"/>
      <c r="J26" s="276" t="s">
        <v>281</v>
      </c>
      <c r="K26" s="238">
        <f>'Enteric fermentation'!C51/(1.185+0.00454*D21-0.0000026*D21^2+(0.315*0))^2</f>
        <v>0</v>
      </c>
      <c r="L26" s="238">
        <f>'Enteric fermentation'!D51/(1.185+0.00454*E21-0.0000026*E21^2+(0.315*0))^2</f>
        <v>0</v>
      </c>
      <c r="M26" s="238">
        <f>'Enteric fermentation'!E51/(1.185+0.00454*F21-0.0000026*F21^2+(0.315*0))^2</f>
        <v>0</v>
      </c>
      <c r="N26" s="237"/>
      <c r="O26" s="213"/>
    </row>
    <row r="27" spans="2:15" x14ac:dyDescent="0.25">
      <c r="B27" s="237"/>
      <c r="C27" s="276" t="s">
        <v>282</v>
      </c>
      <c r="D27" s="238">
        <f t="shared" si="6"/>
        <v>0</v>
      </c>
      <c r="E27" s="238">
        <f t="shared" si="6"/>
        <v>0</v>
      </c>
      <c r="F27" s="238">
        <f t="shared" si="6"/>
        <v>0</v>
      </c>
      <c r="G27" s="237"/>
      <c r="I27" s="237"/>
      <c r="J27" s="276" t="s">
        <v>282</v>
      </c>
      <c r="K27" s="238">
        <f>'Enteric fermentation'!C94/(1.185+0.00454*D22-0.0000026*D22^2+(0.315*0))^2</f>
        <v>0</v>
      </c>
      <c r="L27" s="238">
        <f>'Enteric fermentation'!D94/(1.185+0.00454*E22-0.0000026*E22^2+(0.315*0))^2</f>
        <v>0</v>
      </c>
      <c r="M27" s="238">
        <f>'Enteric fermentation'!E94/(1.185+0.00454*F22-0.0000026*F22^2+(0.315*0))^2</f>
        <v>0</v>
      </c>
      <c r="N27" s="237"/>
      <c r="O27" s="214"/>
    </row>
    <row r="28" spans="2:15" x14ac:dyDescent="0.25">
      <c r="B28" s="237"/>
      <c r="C28" s="276" t="s">
        <v>283</v>
      </c>
      <c r="D28" s="238">
        <f t="shared" si="6"/>
        <v>0</v>
      </c>
      <c r="E28" s="238">
        <f t="shared" si="6"/>
        <v>0</v>
      </c>
      <c r="F28" s="238">
        <f t="shared" si="6"/>
        <v>0</v>
      </c>
      <c r="G28" s="237"/>
      <c r="I28" s="237"/>
      <c r="J28" s="276" t="s">
        <v>283</v>
      </c>
      <c r="K28" s="238">
        <f>'Enteric fermentation'!C137/(1.185+0.00454*D23-0.0000026*D23^2+(0.315*0))^2</f>
        <v>0</v>
      </c>
      <c r="L28" s="238">
        <f>'Enteric fermentation'!D137/(1.185+0.00454*E23-0.0000026*E23^2+(0.315*0))^2</f>
        <v>0</v>
      </c>
      <c r="M28" s="238">
        <f>'Enteric fermentation'!E137/(1.185+0.00454*F23-0.0000026*F23^2+(0.315*0))^2</f>
        <v>0</v>
      </c>
      <c r="N28" s="237"/>
      <c r="O28" s="213"/>
    </row>
    <row r="29" spans="2:15" x14ac:dyDescent="0.25">
      <c r="B29" s="237"/>
      <c r="C29" s="228"/>
      <c r="D29" s="238"/>
      <c r="E29" s="238"/>
      <c r="F29" s="238"/>
      <c r="G29" s="237"/>
      <c r="I29" s="237"/>
      <c r="J29" s="237"/>
      <c r="K29" s="237"/>
      <c r="L29" s="237"/>
      <c r="M29" s="237"/>
      <c r="N29" s="237"/>
      <c r="O29" s="213"/>
    </row>
    <row r="30" spans="2:15" x14ac:dyDescent="0.25">
      <c r="B30" s="236" t="s">
        <v>141</v>
      </c>
      <c r="C30" s="276" t="s">
        <v>277</v>
      </c>
      <c r="D30" s="238">
        <f>'Data input'!C13</f>
        <v>1.7</v>
      </c>
      <c r="E30" s="238">
        <f>'Data input'!D13</f>
        <v>1.5</v>
      </c>
      <c r="F30" s="238">
        <f>'Data input'!E13</f>
        <v>1.2</v>
      </c>
      <c r="G30" s="252" t="str">
        <f>'Data input'!G13</f>
        <v>kg/day</v>
      </c>
      <c r="I30" s="236" t="s">
        <v>142</v>
      </c>
      <c r="J30" s="236"/>
      <c r="K30" s="84" t="s">
        <v>143</v>
      </c>
      <c r="L30" s="237"/>
      <c r="M30" s="237"/>
      <c r="N30" s="237"/>
      <c r="O30" s="213" t="s">
        <v>145</v>
      </c>
    </row>
    <row r="31" spans="2:15" x14ac:dyDescent="0.25">
      <c r="B31" s="237"/>
      <c r="C31" s="276" t="s">
        <v>281</v>
      </c>
      <c r="D31" s="238">
        <f>'Data input'!C32</f>
        <v>0</v>
      </c>
      <c r="E31" s="238">
        <f>'Data input'!D32</f>
        <v>0</v>
      </c>
      <c r="F31" s="238">
        <f>'Data input'!E32</f>
        <v>0</v>
      </c>
      <c r="G31" s="252" t="str">
        <f>'Data input'!G32</f>
        <v>kg/day</v>
      </c>
      <c r="I31" s="237"/>
      <c r="J31" s="276" t="s">
        <v>277</v>
      </c>
      <c r="K31" s="240">
        <f>(K6/6.25)-K18-K12-((1.1*10^-4*D20^0.75)/6.25)</f>
        <v>0.16795862867749611</v>
      </c>
      <c r="L31" s="240">
        <f t="shared" ref="K31:M34" si="7">(L6/6.25)-L18-L12-((1.1*10^-4*E20^0.75)/6.25)</f>
        <v>0.20347174234293675</v>
      </c>
      <c r="M31" s="240">
        <f t="shared" si="7"/>
        <v>0.18579519805439296</v>
      </c>
      <c r="N31" s="239" t="s">
        <v>65</v>
      </c>
      <c r="O31" s="214"/>
    </row>
    <row r="32" spans="2:15" x14ac:dyDescent="0.25">
      <c r="B32" s="237"/>
      <c r="C32" s="276" t="s">
        <v>282</v>
      </c>
      <c r="D32" s="238">
        <f>'Data input'!C51</f>
        <v>0</v>
      </c>
      <c r="E32" s="238">
        <f>'Data input'!D51</f>
        <v>0</v>
      </c>
      <c r="F32" s="238">
        <f>'Data input'!E51</f>
        <v>0</v>
      </c>
      <c r="G32" s="252" t="str">
        <f>'Data input'!G51</f>
        <v>kg/day</v>
      </c>
      <c r="I32" s="237"/>
      <c r="J32" s="276" t="s">
        <v>281</v>
      </c>
      <c r="K32" s="240">
        <f t="shared" si="7"/>
        <v>0</v>
      </c>
      <c r="L32" s="240">
        <f t="shared" si="7"/>
        <v>0</v>
      </c>
      <c r="M32" s="240">
        <f t="shared" si="7"/>
        <v>0</v>
      </c>
      <c r="N32" s="239" t="s">
        <v>65</v>
      </c>
      <c r="O32" s="214"/>
    </row>
    <row r="33" spans="1:15" x14ac:dyDescent="0.25">
      <c r="B33" s="237"/>
      <c r="C33" s="276" t="s">
        <v>283</v>
      </c>
      <c r="D33" s="238">
        <f>'Data input'!C70</f>
        <v>0</v>
      </c>
      <c r="E33" s="238">
        <f>'Data input'!D70</f>
        <v>0</v>
      </c>
      <c r="F33" s="238">
        <f>'Data input'!E70</f>
        <v>0</v>
      </c>
      <c r="G33" s="252" t="str">
        <f>'Data input'!G70</f>
        <v>kg/day</v>
      </c>
      <c r="I33" s="237"/>
      <c r="J33" s="276" t="s">
        <v>282</v>
      </c>
      <c r="K33" s="240">
        <f t="shared" si="7"/>
        <v>0</v>
      </c>
      <c r="L33" s="240">
        <f t="shared" si="7"/>
        <v>0</v>
      </c>
      <c r="M33" s="240">
        <f t="shared" si="7"/>
        <v>0</v>
      </c>
      <c r="N33" s="239" t="s">
        <v>65</v>
      </c>
      <c r="O33" s="214"/>
    </row>
    <row r="34" spans="1:15" x14ac:dyDescent="0.25">
      <c r="B34" s="237"/>
      <c r="C34" s="228"/>
      <c r="D34" s="238"/>
      <c r="E34" s="238"/>
      <c r="F34" s="238"/>
      <c r="G34" s="237"/>
      <c r="I34" s="237"/>
      <c r="J34" s="276" t="s">
        <v>283</v>
      </c>
      <c r="K34" s="240">
        <f t="shared" si="7"/>
        <v>0</v>
      </c>
      <c r="L34" s="240">
        <f t="shared" si="7"/>
        <v>0</v>
      </c>
      <c r="M34" s="240">
        <f t="shared" si="7"/>
        <v>0</v>
      </c>
      <c r="N34" s="239" t="s">
        <v>65</v>
      </c>
      <c r="O34" s="214"/>
    </row>
    <row r="35" spans="1:15" x14ac:dyDescent="0.25">
      <c r="B35" s="236" t="s">
        <v>106</v>
      </c>
      <c r="C35" s="276" t="s">
        <v>277</v>
      </c>
      <c r="D35" s="237">
        <f>'Data input'!C10</f>
        <v>20000</v>
      </c>
      <c r="E35" s="237">
        <f>'Data input'!D10</f>
        <v>15000</v>
      </c>
      <c r="F35" s="237">
        <f>'Data input'!E10</f>
        <v>10000</v>
      </c>
      <c r="G35" s="239" t="str">
        <f>'Data input'!G10</f>
        <v>head</v>
      </c>
      <c r="I35" s="237"/>
      <c r="J35" s="237"/>
      <c r="K35" s="237"/>
      <c r="L35" s="237"/>
      <c r="M35" s="237"/>
      <c r="N35" s="237"/>
      <c r="O35" s="214"/>
    </row>
    <row r="36" spans="1:15" x14ac:dyDescent="0.25">
      <c r="B36" s="237"/>
      <c r="C36" s="276" t="s">
        <v>281</v>
      </c>
      <c r="D36" s="237">
        <f>'Data input'!C29</f>
        <v>0</v>
      </c>
      <c r="E36" s="237">
        <f>'Data input'!D29</f>
        <v>0</v>
      </c>
      <c r="F36" s="237">
        <f>'Data input'!E29</f>
        <v>0</v>
      </c>
      <c r="G36" s="239" t="str">
        <f>'Data input'!G29</f>
        <v>head</v>
      </c>
      <c r="I36" s="236" t="s">
        <v>272</v>
      </c>
      <c r="J36" s="237"/>
      <c r="K36" s="236" t="s">
        <v>290</v>
      </c>
      <c r="L36" s="237"/>
      <c r="M36" s="237"/>
      <c r="N36" s="237"/>
      <c r="O36" s="213" t="s">
        <v>146</v>
      </c>
    </row>
    <row r="37" spans="1:15" x14ac:dyDescent="0.25">
      <c r="B37" s="237"/>
      <c r="C37" s="276" t="s">
        <v>282</v>
      </c>
      <c r="D37" s="237">
        <f>'Data input'!C48</f>
        <v>0</v>
      </c>
      <c r="E37" s="237">
        <f>'Data input'!D48</f>
        <v>0</v>
      </c>
      <c r="F37" s="237">
        <f>'Data input'!E48</f>
        <v>0</v>
      </c>
      <c r="G37" s="239" t="str">
        <f>'Data input'!G48</f>
        <v>head</v>
      </c>
      <c r="I37" s="184"/>
      <c r="J37" s="184"/>
      <c r="K37" s="184" t="s">
        <v>289</v>
      </c>
      <c r="L37" s="184"/>
      <c r="M37" s="184"/>
      <c r="N37" s="184"/>
      <c r="O37" s="229"/>
    </row>
    <row r="38" spans="1:15" x14ac:dyDescent="0.25">
      <c r="B38" s="237"/>
      <c r="C38" s="276" t="s">
        <v>283</v>
      </c>
      <c r="D38" s="237">
        <f>'Data input'!C67</f>
        <v>0</v>
      </c>
      <c r="E38" s="237">
        <f>'Data input'!D67</f>
        <v>0</v>
      </c>
      <c r="F38" s="237">
        <f>'Data input'!E67</f>
        <v>0</v>
      </c>
      <c r="G38" s="239" t="str">
        <f>'Data input'!G67</f>
        <v>head</v>
      </c>
      <c r="I38" s="237"/>
      <c r="J38" s="276" t="s">
        <v>277</v>
      </c>
      <c r="K38" s="241">
        <f>(D35*K12*D40)*10^-6</f>
        <v>6.90589536E-2</v>
      </c>
      <c r="L38" s="241">
        <f t="shared" ref="L38:M38" si="8">(E35*L12*E40)*10^-6</f>
        <v>0.11542710815999999</v>
      </c>
      <c r="M38" s="241">
        <f t="shared" si="8"/>
        <v>0.12919191999999999</v>
      </c>
      <c r="N38" s="239" t="s">
        <v>170</v>
      </c>
      <c r="O38" s="214"/>
    </row>
    <row r="39" spans="1:15" x14ac:dyDescent="0.25">
      <c r="B39" s="237"/>
      <c r="C39" s="237"/>
      <c r="D39" s="237"/>
      <c r="E39" s="237"/>
      <c r="F39" s="237"/>
      <c r="G39" s="237"/>
      <c r="I39" s="237"/>
      <c r="J39" s="276" t="s">
        <v>281</v>
      </c>
      <c r="K39" s="241">
        <f t="shared" ref="K39:K41" si="9">(D36*K13*D41)*10^-6</f>
        <v>0</v>
      </c>
      <c r="L39" s="241">
        <f t="shared" ref="L39:L41" si="10">(E36*L13*E41)*10^-6</f>
        <v>0</v>
      </c>
      <c r="M39" s="241">
        <f t="shared" ref="M39:M41" si="11">(F36*M13*F41)*10^-6</f>
        <v>0</v>
      </c>
      <c r="N39" s="239" t="s">
        <v>170</v>
      </c>
      <c r="O39" s="214"/>
    </row>
    <row r="40" spans="1:15" x14ac:dyDescent="0.25">
      <c r="B40" s="277" t="s">
        <v>286</v>
      </c>
      <c r="C40" s="276" t="s">
        <v>277</v>
      </c>
      <c r="D40" s="184">
        <f>'Data input'!C11</f>
        <v>75</v>
      </c>
      <c r="E40" s="184">
        <f>'Data input'!D11</f>
        <v>140</v>
      </c>
      <c r="F40" s="184">
        <f>'Data input'!E11</f>
        <v>250</v>
      </c>
      <c r="G40" s="278" t="str">
        <f>'Data input'!G11</f>
        <v xml:space="preserve">days </v>
      </c>
      <c r="I40" s="237"/>
      <c r="J40" s="276" t="s">
        <v>282</v>
      </c>
      <c r="K40" s="241">
        <f t="shared" si="9"/>
        <v>0</v>
      </c>
      <c r="L40" s="241">
        <f t="shared" si="10"/>
        <v>0</v>
      </c>
      <c r="M40" s="241">
        <f t="shared" si="11"/>
        <v>0</v>
      </c>
      <c r="N40" s="239" t="s">
        <v>170</v>
      </c>
      <c r="O40" s="214"/>
    </row>
    <row r="41" spans="1:15" x14ac:dyDescent="0.25">
      <c r="B41" s="184"/>
      <c r="C41" s="276" t="s">
        <v>281</v>
      </c>
      <c r="D41" s="184">
        <f>'Data input'!C30</f>
        <v>0</v>
      </c>
      <c r="E41" s="184">
        <f>'Data input'!D30</f>
        <v>0</v>
      </c>
      <c r="F41" s="184">
        <f>'Data input'!E30</f>
        <v>0</v>
      </c>
      <c r="G41" s="278" t="str">
        <f>'Data input'!G30</f>
        <v xml:space="preserve">days </v>
      </c>
      <c r="I41" s="237"/>
      <c r="J41" s="276" t="s">
        <v>283</v>
      </c>
      <c r="K41" s="241">
        <f t="shared" si="9"/>
        <v>0</v>
      </c>
      <c r="L41" s="241">
        <f t="shared" si="10"/>
        <v>0</v>
      </c>
      <c r="M41" s="241">
        <f t="shared" si="11"/>
        <v>0</v>
      </c>
      <c r="N41" s="239" t="s">
        <v>170</v>
      </c>
      <c r="O41" s="213"/>
    </row>
    <row r="42" spans="1:15" x14ac:dyDescent="0.25">
      <c r="B42" s="184"/>
      <c r="C42" s="276" t="s">
        <v>282</v>
      </c>
      <c r="D42" s="184">
        <f>'Data input'!C49</f>
        <v>0</v>
      </c>
      <c r="E42" s="184">
        <f>'Data input'!D49</f>
        <v>0</v>
      </c>
      <c r="F42" s="184">
        <f>'Data input'!E49</f>
        <v>0</v>
      </c>
      <c r="G42" s="278" t="str">
        <f>'Data input'!G49</f>
        <v xml:space="preserve">days </v>
      </c>
      <c r="I42" s="237"/>
      <c r="J42" s="237"/>
      <c r="K42" s="237"/>
      <c r="L42" s="237"/>
      <c r="M42" s="237"/>
      <c r="N42" s="237"/>
      <c r="O42" s="213"/>
    </row>
    <row r="43" spans="1:15" x14ac:dyDescent="0.25">
      <c r="B43" s="184"/>
      <c r="C43" s="276" t="s">
        <v>283</v>
      </c>
      <c r="D43" s="184">
        <f>'Data input'!C68</f>
        <v>0</v>
      </c>
      <c r="E43" s="184">
        <f>'Data input'!D68</f>
        <v>0</v>
      </c>
      <c r="F43" s="184">
        <f>'Data input'!E68</f>
        <v>0</v>
      </c>
      <c r="G43" s="278" t="str">
        <f>'Data input'!G68</f>
        <v xml:space="preserve">days </v>
      </c>
      <c r="I43" s="236" t="s">
        <v>147</v>
      </c>
      <c r="J43" s="237"/>
      <c r="K43" s="236" t="s">
        <v>291</v>
      </c>
      <c r="L43" s="237"/>
      <c r="M43" s="237"/>
      <c r="N43" s="237"/>
      <c r="O43" s="213" t="s">
        <v>148</v>
      </c>
    </row>
    <row r="44" spans="1:15" x14ac:dyDescent="0.25">
      <c r="B44" s="184"/>
      <c r="C44" s="184"/>
      <c r="D44" s="184"/>
      <c r="E44" s="184"/>
      <c r="F44" s="184"/>
      <c r="G44" s="184"/>
      <c r="H44" s="73"/>
      <c r="I44" s="237"/>
      <c r="J44" s="276" t="s">
        <v>277</v>
      </c>
      <c r="K44" s="240">
        <f>(D35*K31*D40)*10^-6</f>
        <v>0.25193794301624417</v>
      </c>
      <c r="L44" s="240">
        <f t="shared" ref="L44:M44" si="12">(E35*L31*E40)*10^-6</f>
        <v>0.4272906589201671</v>
      </c>
      <c r="M44" s="240">
        <f t="shared" si="12"/>
        <v>0.46448799513598232</v>
      </c>
      <c r="N44" s="239" t="s">
        <v>170</v>
      </c>
      <c r="O44" s="213"/>
    </row>
    <row r="45" spans="1:15" x14ac:dyDescent="0.25">
      <c r="B45" s="236" t="s">
        <v>156</v>
      </c>
      <c r="C45" s="237">
        <f>44/28</f>
        <v>1.5714285714285714</v>
      </c>
      <c r="D45" s="237"/>
      <c r="E45" s="237"/>
      <c r="F45" s="237"/>
      <c r="G45" s="237"/>
      <c r="H45" s="73"/>
      <c r="I45" s="237"/>
      <c r="J45" s="276" t="s">
        <v>281</v>
      </c>
      <c r="K45" s="240">
        <f t="shared" ref="K45:K47" si="13">(D36*K32*D41)*10^-6</f>
        <v>0</v>
      </c>
      <c r="L45" s="240">
        <f t="shared" ref="L45:L47" si="14">(E36*L32*E41)*10^-6</f>
        <v>0</v>
      </c>
      <c r="M45" s="240">
        <f t="shared" ref="M45:M47" si="15">(F36*M32*F41)*10^-6</f>
        <v>0</v>
      </c>
      <c r="N45" s="239" t="s">
        <v>170</v>
      </c>
      <c r="O45" s="213"/>
    </row>
    <row r="46" spans="1:15" x14ac:dyDescent="0.25">
      <c r="B46" s="237"/>
      <c r="C46" s="237"/>
      <c r="D46" s="237"/>
      <c r="E46" s="237"/>
      <c r="F46" s="237"/>
      <c r="G46" s="237"/>
      <c r="H46" s="73"/>
      <c r="I46" s="237"/>
      <c r="J46" s="276" t="s">
        <v>282</v>
      </c>
      <c r="K46" s="240">
        <f t="shared" si="13"/>
        <v>0</v>
      </c>
      <c r="L46" s="240">
        <f t="shared" si="14"/>
        <v>0</v>
      </c>
      <c r="M46" s="240">
        <f t="shared" si="15"/>
        <v>0</v>
      </c>
      <c r="N46" s="239" t="s">
        <v>170</v>
      </c>
      <c r="O46" s="213"/>
    </row>
    <row r="47" spans="1:15" x14ac:dyDescent="0.25">
      <c r="B47" s="230" t="s">
        <v>137</v>
      </c>
      <c r="C47" s="231" t="s">
        <v>138</v>
      </c>
      <c r="D47" s="237"/>
      <c r="E47" s="237"/>
      <c r="F47" s="237"/>
      <c r="G47" s="237"/>
      <c r="H47" s="73"/>
      <c r="I47" s="237"/>
      <c r="J47" s="276" t="s">
        <v>283</v>
      </c>
      <c r="K47" s="240">
        <f t="shared" si="13"/>
        <v>0</v>
      </c>
      <c r="L47" s="240">
        <f t="shared" si="14"/>
        <v>0</v>
      </c>
      <c r="M47" s="240">
        <f t="shared" si="15"/>
        <v>0</v>
      </c>
      <c r="N47" s="239" t="s">
        <v>170</v>
      </c>
      <c r="O47" s="213"/>
    </row>
    <row r="48" spans="1:15" x14ac:dyDescent="0.25">
      <c r="A48" s="73">
        <v>1</v>
      </c>
      <c r="B48" s="232" t="s">
        <v>51</v>
      </c>
      <c r="C48" s="233">
        <v>600</v>
      </c>
      <c r="D48" s="237"/>
      <c r="E48" s="237"/>
      <c r="F48" s="237"/>
      <c r="G48" s="237"/>
      <c r="H48" s="73"/>
      <c r="I48" s="237"/>
      <c r="J48" s="237"/>
      <c r="K48" s="237"/>
      <c r="L48" s="237"/>
      <c r="M48" s="237"/>
      <c r="N48" s="237"/>
      <c r="O48" s="213"/>
    </row>
    <row r="49" spans="1:15" x14ac:dyDescent="0.25">
      <c r="A49" s="73">
        <v>2</v>
      </c>
      <c r="B49" s="232" t="s">
        <v>53</v>
      </c>
      <c r="C49" s="233">
        <v>660</v>
      </c>
      <c r="D49" s="237"/>
      <c r="E49" s="237"/>
      <c r="F49" s="237"/>
      <c r="G49" s="237"/>
      <c r="I49" s="236" t="s">
        <v>149</v>
      </c>
      <c r="J49" s="236"/>
      <c r="K49" s="236" t="s">
        <v>150</v>
      </c>
      <c r="L49" s="237"/>
      <c r="M49" s="237"/>
      <c r="N49" s="237"/>
      <c r="O49" s="214"/>
    </row>
    <row r="50" spans="1:15" x14ac:dyDescent="0.25">
      <c r="A50" s="73">
        <v>3</v>
      </c>
      <c r="B50" s="232" t="s">
        <v>66</v>
      </c>
      <c r="C50" s="233">
        <v>660</v>
      </c>
      <c r="D50" s="237"/>
      <c r="E50" s="237"/>
      <c r="F50" s="237"/>
      <c r="G50" s="237"/>
      <c r="H50" s="73"/>
      <c r="I50" s="237"/>
      <c r="J50" s="276" t="s">
        <v>277</v>
      </c>
      <c r="K50" s="240">
        <f>K38+K44</f>
        <v>0.3209968966162442</v>
      </c>
      <c r="L50" s="240">
        <f t="shared" ref="L50:M50" si="16">L38+L44</f>
        <v>0.54271776708016706</v>
      </c>
      <c r="M50" s="240">
        <f t="shared" si="16"/>
        <v>0.59367991513598228</v>
      </c>
      <c r="N50" s="239" t="s">
        <v>170</v>
      </c>
      <c r="O50" s="213"/>
    </row>
    <row r="51" spans="1:15" x14ac:dyDescent="0.25">
      <c r="A51" s="73">
        <v>4</v>
      </c>
      <c r="B51" s="232" t="s">
        <v>54</v>
      </c>
      <c r="C51" s="233">
        <v>660</v>
      </c>
      <c r="D51" s="237"/>
      <c r="E51" s="237"/>
      <c r="F51" s="237"/>
      <c r="G51" s="237"/>
      <c r="H51" s="73"/>
      <c r="I51" s="237"/>
      <c r="J51" s="276" t="s">
        <v>281</v>
      </c>
      <c r="K51" s="240">
        <f t="shared" ref="K51:M51" si="17">K39+K45</f>
        <v>0</v>
      </c>
      <c r="L51" s="240">
        <f t="shared" si="17"/>
        <v>0</v>
      </c>
      <c r="M51" s="240">
        <f t="shared" si="17"/>
        <v>0</v>
      </c>
      <c r="N51" s="239" t="s">
        <v>170</v>
      </c>
      <c r="O51" s="213"/>
    </row>
    <row r="52" spans="1:15" x14ac:dyDescent="0.25">
      <c r="A52" s="73">
        <v>5</v>
      </c>
      <c r="B52" s="232" t="s">
        <v>56</v>
      </c>
      <c r="C52" s="233">
        <v>660</v>
      </c>
      <c r="D52" s="237"/>
      <c r="E52" s="237"/>
      <c r="F52" s="237"/>
      <c r="G52" s="237"/>
      <c r="H52" s="73"/>
      <c r="I52" s="237"/>
      <c r="J52" s="276" t="s">
        <v>282</v>
      </c>
      <c r="K52" s="240">
        <f t="shared" ref="K52:M52" si="18">K40+K46</f>
        <v>0</v>
      </c>
      <c r="L52" s="240">
        <f t="shared" si="18"/>
        <v>0</v>
      </c>
      <c r="M52" s="240">
        <f t="shared" si="18"/>
        <v>0</v>
      </c>
      <c r="N52" s="239" t="s">
        <v>170</v>
      </c>
      <c r="O52" s="214"/>
    </row>
    <row r="53" spans="1:15" x14ac:dyDescent="0.25">
      <c r="A53" s="73">
        <v>6</v>
      </c>
      <c r="B53" s="232" t="s">
        <v>57</v>
      </c>
      <c r="C53" s="233">
        <v>660</v>
      </c>
      <c r="D53" s="237"/>
      <c r="E53" s="237"/>
      <c r="F53" s="237"/>
      <c r="G53" s="237"/>
      <c r="H53" s="73"/>
      <c r="I53" s="237"/>
      <c r="J53" s="276" t="s">
        <v>283</v>
      </c>
      <c r="K53" s="240">
        <f t="shared" ref="K53:M53" si="19">K41+K47</f>
        <v>0</v>
      </c>
      <c r="L53" s="240">
        <f t="shared" si="19"/>
        <v>0</v>
      </c>
      <c r="M53" s="240">
        <f t="shared" si="19"/>
        <v>0</v>
      </c>
      <c r="N53" s="239" t="s">
        <v>170</v>
      </c>
      <c r="O53" s="213"/>
    </row>
    <row r="54" spans="1:15" x14ac:dyDescent="0.25">
      <c r="A54" s="73">
        <v>7</v>
      </c>
      <c r="B54" s="234" t="s">
        <v>58</v>
      </c>
      <c r="C54" s="235">
        <v>660</v>
      </c>
      <c r="D54" s="237"/>
      <c r="E54" s="237"/>
      <c r="F54" s="237"/>
      <c r="G54" s="237"/>
      <c r="H54" s="73"/>
      <c r="I54" s="237"/>
      <c r="J54" s="237"/>
      <c r="K54" s="237"/>
      <c r="L54" s="237"/>
      <c r="M54" s="237"/>
      <c r="N54" s="237"/>
      <c r="O54" s="213"/>
    </row>
    <row r="55" spans="1:15" x14ac:dyDescent="0.25">
      <c r="B55" s="230" t="s">
        <v>139</v>
      </c>
      <c r="C55" s="231">
        <f>VLOOKUP('Data input'!J16,'Nitrous oxide MMS'!A48:C54,3,FALSE)</f>
        <v>600</v>
      </c>
      <c r="D55" s="244"/>
      <c r="E55" s="244"/>
      <c r="F55" s="244"/>
      <c r="G55" s="244"/>
      <c r="H55" s="73"/>
      <c r="I55" s="236" t="s">
        <v>273</v>
      </c>
      <c r="J55" s="236"/>
      <c r="K55" s="236" t="s">
        <v>155</v>
      </c>
      <c r="L55" s="237"/>
      <c r="M55" s="237"/>
      <c r="N55" s="237"/>
      <c r="O55" s="213" t="s">
        <v>158</v>
      </c>
    </row>
    <row r="56" spans="1:15" x14ac:dyDescent="0.25">
      <c r="H56" s="73"/>
      <c r="I56" s="237" t="s">
        <v>151</v>
      </c>
      <c r="J56" s="237"/>
      <c r="K56" s="237" t="s">
        <v>152</v>
      </c>
      <c r="L56" s="237"/>
      <c r="M56" s="237"/>
      <c r="N56" s="237"/>
      <c r="O56" s="213"/>
    </row>
    <row r="57" spans="1:15" x14ac:dyDescent="0.25">
      <c r="H57" s="73"/>
      <c r="I57" s="237"/>
      <c r="J57" s="237"/>
      <c r="K57" s="237" t="s">
        <v>153</v>
      </c>
      <c r="L57" s="237"/>
      <c r="M57" s="237">
        <v>0.02</v>
      </c>
      <c r="N57" s="237"/>
      <c r="O57" s="213" t="s">
        <v>154</v>
      </c>
    </row>
    <row r="58" spans="1:15" x14ac:dyDescent="0.25">
      <c r="H58" s="73"/>
      <c r="I58" s="237"/>
      <c r="J58" s="276" t="s">
        <v>277</v>
      </c>
      <c r="K58" s="242">
        <f>K50*100%*$M$57*$C$45</f>
        <v>1.008847389365339E-2</v>
      </c>
      <c r="L58" s="242">
        <f t="shared" ref="L58:M58" si="20">L50*100%*$M$57*$C$45</f>
        <v>1.7056844108233819E-2</v>
      </c>
      <c r="M58" s="242">
        <f t="shared" si="20"/>
        <v>1.8658511618559442E-2</v>
      </c>
      <c r="N58" s="237" t="s">
        <v>169</v>
      </c>
      <c r="O58" s="213"/>
    </row>
    <row r="59" spans="1:15" x14ac:dyDescent="0.25">
      <c r="H59" s="73"/>
      <c r="I59" s="237"/>
      <c r="J59" s="276" t="s">
        <v>281</v>
      </c>
      <c r="K59" s="242">
        <f t="shared" ref="K59:M59" si="21">K51*100%*$M$57*$C$45</f>
        <v>0</v>
      </c>
      <c r="L59" s="242">
        <f t="shared" si="21"/>
        <v>0</v>
      </c>
      <c r="M59" s="242">
        <f t="shared" si="21"/>
        <v>0</v>
      </c>
      <c r="N59" s="237" t="s">
        <v>169</v>
      </c>
      <c r="O59" s="213"/>
    </row>
    <row r="60" spans="1:15" x14ac:dyDescent="0.25">
      <c r="H60" s="73"/>
      <c r="I60" s="237"/>
      <c r="J60" s="276" t="s">
        <v>282</v>
      </c>
      <c r="K60" s="242">
        <f t="shared" ref="K60:M60" si="22">K52*100%*$M$57*$C$45</f>
        <v>0</v>
      </c>
      <c r="L60" s="242">
        <f t="shared" si="22"/>
        <v>0</v>
      </c>
      <c r="M60" s="242">
        <f t="shared" si="22"/>
        <v>0</v>
      </c>
      <c r="N60" s="237" t="s">
        <v>169</v>
      </c>
      <c r="O60" s="213"/>
    </row>
    <row r="61" spans="1:15" x14ac:dyDescent="0.25">
      <c r="H61" s="73"/>
      <c r="I61" s="237"/>
      <c r="J61" s="276" t="s">
        <v>283</v>
      </c>
      <c r="K61" s="242">
        <f t="shared" ref="K61:M61" si="23">K53*100%*$M$57*$C$45</f>
        <v>0</v>
      </c>
      <c r="L61" s="242">
        <f t="shared" si="23"/>
        <v>0</v>
      </c>
      <c r="M61" s="242">
        <f t="shared" si="23"/>
        <v>0</v>
      </c>
      <c r="N61" s="237" t="s">
        <v>169</v>
      </c>
      <c r="O61" s="213"/>
    </row>
    <row r="62" spans="1:15" x14ac:dyDescent="0.25">
      <c r="H62" s="73"/>
      <c r="I62" s="237"/>
      <c r="J62" s="237"/>
      <c r="K62" s="237"/>
      <c r="L62" s="237"/>
      <c r="M62" s="237"/>
      <c r="N62" s="237"/>
      <c r="O62" s="213"/>
    </row>
    <row r="63" spans="1:15" x14ac:dyDescent="0.25">
      <c r="H63" s="73"/>
      <c r="I63" s="236" t="s">
        <v>98</v>
      </c>
      <c r="J63" s="242">
        <f>SUM(K58:M61)</f>
        <v>4.580382962044665E-2</v>
      </c>
      <c r="K63" s="237"/>
      <c r="L63" s="237"/>
      <c r="M63" s="237"/>
      <c r="N63" s="239" t="s">
        <v>157</v>
      </c>
      <c r="O63" s="214"/>
    </row>
    <row r="64" spans="1:15" x14ac:dyDescent="0.25">
      <c r="H64" s="73"/>
      <c r="I64" s="236" t="s">
        <v>98</v>
      </c>
      <c r="J64" s="237">
        <f>J63*310</f>
        <v>14.199187182338461</v>
      </c>
      <c r="K64" s="237"/>
      <c r="L64" s="237"/>
      <c r="M64" s="237"/>
      <c r="N64" s="239" t="s">
        <v>165</v>
      </c>
      <c r="O64" s="214"/>
    </row>
    <row r="65" spans="8:15" x14ac:dyDescent="0.25">
      <c r="H65" s="73"/>
      <c r="I65" s="243" t="s">
        <v>98</v>
      </c>
      <c r="J65" s="244">
        <f>J64*10^3</f>
        <v>14199.187182338461</v>
      </c>
      <c r="K65" s="244"/>
      <c r="L65" s="244"/>
      <c r="M65" s="244"/>
      <c r="N65" s="245" t="s">
        <v>274</v>
      </c>
      <c r="O65" s="246"/>
    </row>
    <row r="66" spans="8:15" x14ac:dyDescent="0.25">
      <c r="H66" s="73"/>
      <c r="O66" s="77"/>
    </row>
    <row r="67" spans="8:15" x14ac:dyDescent="0.25">
      <c r="H67" s="73"/>
      <c r="O67" s="77"/>
    </row>
    <row r="68" spans="8:15" x14ac:dyDescent="0.25">
      <c r="H68" s="73"/>
      <c r="I68" s="75"/>
      <c r="J68" s="75"/>
      <c r="O68" s="77"/>
    </row>
    <row r="69" spans="8:15" x14ac:dyDescent="0.25">
      <c r="H69" s="73"/>
    </row>
    <row r="70" spans="8:15" x14ac:dyDescent="0.25">
      <c r="H70" s="73"/>
    </row>
    <row r="71" spans="8:15" x14ac:dyDescent="0.25">
      <c r="H71" s="73"/>
    </row>
    <row r="72" spans="8:15" x14ac:dyDescent="0.25">
      <c r="H72" s="73"/>
    </row>
    <row r="73" spans="8:15" x14ac:dyDescent="0.25">
      <c r="H73" s="73"/>
    </row>
    <row r="74" spans="8:15" x14ac:dyDescent="0.25">
      <c r="H74" s="73"/>
    </row>
    <row r="75" spans="8:15" x14ac:dyDescent="0.25">
      <c r="H75" s="73"/>
    </row>
    <row r="77" spans="8:15" x14ac:dyDescent="0.25">
      <c r="H77" s="73"/>
    </row>
    <row r="78" spans="8:15" x14ac:dyDescent="0.25">
      <c r="H78" s="73"/>
    </row>
    <row r="79" spans="8:15" x14ac:dyDescent="0.25">
      <c r="H79" s="73"/>
    </row>
    <row r="81" spans="8:8" x14ac:dyDescent="0.25">
      <c r="H81" s="73"/>
    </row>
    <row r="82" spans="8:8" x14ac:dyDescent="0.25">
      <c r="H82" s="73"/>
    </row>
    <row r="83" spans="8:8" x14ac:dyDescent="0.25">
      <c r="H83" s="73"/>
    </row>
    <row r="84" spans="8:8" x14ac:dyDescent="0.25">
      <c r="H84" s="73"/>
    </row>
    <row r="85" spans="8:8" x14ac:dyDescent="0.25">
      <c r="H85" s="73"/>
    </row>
    <row r="86" spans="8:8" x14ac:dyDescent="0.25">
      <c r="H86" s="73"/>
    </row>
    <row r="87" spans="8:8" x14ac:dyDescent="0.25">
      <c r="H87" s="73"/>
    </row>
    <row r="88" spans="8:8" x14ac:dyDescent="0.25">
      <c r="H88" s="73"/>
    </row>
    <row r="89" spans="8:8" x14ac:dyDescent="0.25">
      <c r="H89" s="73"/>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31"/>
  <sheetViews>
    <sheetView showGridLines="0" zoomScale="90" zoomScaleNormal="90" workbookViewId="0"/>
  </sheetViews>
  <sheetFormatPr defaultRowHeight="15.75" x14ac:dyDescent="0.25"/>
  <cols>
    <col min="1" max="1" width="3.140625" style="86" customWidth="1"/>
    <col min="2" max="2" width="46" style="86" customWidth="1"/>
    <col min="3" max="3" width="15.42578125" style="86" customWidth="1"/>
    <col min="4" max="4" width="13.7109375" style="86" customWidth="1"/>
    <col min="5" max="5" width="15.7109375" style="86" customWidth="1"/>
    <col min="6" max="6" width="11.42578125" style="86" customWidth="1"/>
    <col min="7" max="7" width="20.85546875" style="86" customWidth="1"/>
    <col min="8" max="8" width="22.5703125" style="86" customWidth="1"/>
    <col min="9" max="9" width="23.85546875" style="86" customWidth="1"/>
    <col min="10" max="10" width="9.7109375" style="86" customWidth="1"/>
    <col min="11" max="11" width="33.140625" style="89" customWidth="1"/>
    <col min="12" max="12" width="20" style="86" bestFit="1" customWidth="1"/>
    <col min="13" max="13" width="12.7109375" style="86" customWidth="1"/>
    <col min="14" max="14" width="13.28515625" style="86" bestFit="1" customWidth="1"/>
    <col min="15" max="15" width="15" style="86" bestFit="1" customWidth="1"/>
    <col min="16" max="16" width="15.28515625" style="86" bestFit="1" customWidth="1"/>
    <col min="17" max="18" width="12.7109375" style="86" bestFit="1" customWidth="1"/>
    <col min="19" max="23" width="8.85546875" style="86"/>
    <col min="24" max="24" width="15.42578125" style="86" bestFit="1" customWidth="1"/>
    <col min="25" max="255" width="8.85546875" style="86"/>
    <col min="256" max="256" width="3.140625" style="86" customWidth="1"/>
    <col min="257" max="257" width="38.85546875" style="86" customWidth="1"/>
    <col min="258" max="258" width="15.42578125" style="86" customWidth="1"/>
    <col min="259" max="259" width="13.7109375" style="86" customWidth="1"/>
    <col min="260" max="260" width="14.28515625" style="86" customWidth="1"/>
    <col min="261" max="261" width="11.42578125" style="86" customWidth="1"/>
    <col min="262" max="262" width="14.28515625" style="86" customWidth="1"/>
    <col min="263" max="263" width="14.7109375" style="86" customWidth="1"/>
    <col min="264" max="265" width="14" style="86" bestFit="1" customWidth="1"/>
    <col min="266" max="266" width="19.28515625" style="86" customWidth="1"/>
    <col min="267" max="267" width="21.5703125" style="86" customWidth="1"/>
    <col min="268" max="268" width="20" style="86" bestFit="1" customWidth="1"/>
    <col min="269" max="269" width="6.5703125" style="86" customWidth="1"/>
    <col min="270" max="270" width="13.28515625" style="86" bestFit="1" customWidth="1"/>
    <col min="271" max="271" width="15" style="86" bestFit="1" customWidth="1"/>
    <col min="272" max="272" width="15.28515625" style="86" bestFit="1" customWidth="1"/>
    <col min="273" max="274" width="12.7109375" style="86" bestFit="1" customWidth="1"/>
    <col min="275" max="279" width="8.85546875" style="86"/>
    <col min="280" max="280" width="15.42578125" style="86" bestFit="1" customWidth="1"/>
    <col min="281" max="511" width="8.85546875" style="86"/>
    <col min="512" max="512" width="3.140625" style="86" customWidth="1"/>
    <col min="513" max="513" width="38.85546875" style="86" customWidth="1"/>
    <col min="514" max="514" width="15.42578125" style="86" customWidth="1"/>
    <col min="515" max="515" width="13.7109375" style="86" customWidth="1"/>
    <col min="516" max="516" width="14.28515625" style="86" customWidth="1"/>
    <col min="517" max="517" width="11.42578125" style="86" customWidth="1"/>
    <col min="518" max="518" width="14.28515625" style="86" customWidth="1"/>
    <col min="519" max="519" width="14.7109375" style="86" customWidth="1"/>
    <col min="520" max="521" width="14" style="86" bestFit="1" customWidth="1"/>
    <col min="522" max="522" width="19.28515625" style="86" customWidth="1"/>
    <col min="523" max="523" width="21.5703125" style="86" customWidth="1"/>
    <col min="524" max="524" width="20" style="86" bestFit="1" customWidth="1"/>
    <col min="525" max="525" width="6.5703125" style="86" customWidth="1"/>
    <col min="526" max="526" width="13.28515625" style="86" bestFit="1" customWidth="1"/>
    <col min="527" max="527" width="15" style="86" bestFit="1" customWidth="1"/>
    <col min="528" max="528" width="15.28515625" style="86" bestFit="1" customWidth="1"/>
    <col min="529" max="530" width="12.7109375" style="86" bestFit="1" customWidth="1"/>
    <col min="531" max="535" width="8.85546875" style="86"/>
    <col min="536" max="536" width="15.42578125" style="86" bestFit="1" customWidth="1"/>
    <col min="537" max="767" width="8.85546875" style="86"/>
    <col min="768" max="768" width="3.140625" style="86" customWidth="1"/>
    <col min="769" max="769" width="38.85546875" style="86" customWidth="1"/>
    <col min="770" max="770" width="15.42578125" style="86" customWidth="1"/>
    <col min="771" max="771" width="13.7109375" style="86" customWidth="1"/>
    <col min="772" max="772" width="14.28515625" style="86" customWidth="1"/>
    <col min="773" max="773" width="11.42578125" style="86" customWidth="1"/>
    <col min="774" max="774" width="14.28515625" style="86" customWidth="1"/>
    <col min="775" max="775" width="14.7109375" style="86" customWidth="1"/>
    <col min="776" max="777" width="14" style="86" bestFit="1" customWidth="1"/>
    <col min="778" max="778" width="19.28515625" style="86" customWidth="1"/>
    <col min="779" max="779" width="21.5703125" style="86" customWidth="1"/>
    <col min="780" max="780" width="20" style="86" bestFit="1" customWidth="1"/>
    <col min="781" max="781" width="6.5703125" style="86" customWidth="1"/>
    <col min="782" max="782" width="13.28515625" style="86" bestFit="1" customWidth="1"/>
    <col min="783" max="783" width="15" style="86" bestFit="1" customWidth="1"/>
    <col min="784" max="784" width="15.28515625" style="86" bestFit="1" customWidth="1"/>
    <col min="785" max="786" width="12.7109375" style="86" bestFit="1" customWidth="1"/>
    <col min="787" max="791" width="8.85546875" style="86"/>
    <col min="792" max="792" width="15.42578125" style="86" bestFit="1" customWidth="1"/>
    <col min="793" max="1023" width="8.85546875" style="86"/>
    <col min="1024" max="1024" width="3.140625" style="86" customWidth="1"/>
    <col min="1025" max="1025" width="38.85546875" style="86" customWidth="1"/>
    <col min="1026" max="1026" width="15.42578125" style="86" customWidth="1"/>
    <col min="1027" max="1027" width="13.7109375" style="86" customWidth="1"/>
    <col min="1028" max="1028" width="14.28515625" style="86" customWidth="1"/>
    <col min="1029" max="1029" width="11.42578125" style="86" customWidth="1"/>
    <col min="1030" max="1030" width="14.28515625" style="86" customWidth="1"/>
    <col min="1031" max="1031" width="14.7109375" style="86" customWidth="1"/>
    <col min="1032" max="1033" width="14" style="86" bestFit="1" customWidth="1"/>
    <col min="1034" max="1034" width="19.28515625" style="86" customWidth="1"/>
    <col min="1035" max="1035" width="21.5703125" style="86" customWidth="1"/>
    <col min="1036" max="1036" width="20" style="86" bestFit="1" customWidth="1"/>
    <col min="1037" max="1037" width="6.5703125" style="86" customWidth="1"/>
    <col min="1038" max="1038" width="13.28515625" style="86" bestFit="1" customWidth="1"/>
    <col min="1039" max="1039" width="15" style="86" bestFit="1" customWidth="1"/>
    <col min="1040" max="1040" width="15.28515625" style="86" bestFit="1" customWidth="1"/>
    <col min="1041" max="1042" width="12.7109375" style="86" bestFit="1" customWidth="1"/>
    <col min="1043" max="1047" width="8.85546875" style="86"/>
    <col min="1048" max="1048" width="15.42578125" style="86" bestFit="1" customWidth="1"/>
    <col min="1049" max="1279" width="8.85546875" style="86"/>
    <col min="1280" max="1280" width="3.140625" style="86" customWidth="1"/>
    <col min="1281" max="1281" width="38.85546875" style="86" customWidth="1"/>
    <col min="1282" max="1282" width="15.42578125" style="86" customWidth="1"/>
    <col min="1283" max="1283" width="13.7109375" style="86" customWidth="1"/>
    <col min="1284" max="1284" width="14.28515625" style="86" customWidth="1"/>
    <col min="1285" max="1285" width="11.42578125" style="86" customWidth="1"/>
    <col min="1286" max="1286" width="14.28515625" style="86" customWidth="1"/>
    <col min="1287" max="1287" width="14.7109375" style="86" customWidth="1"/>
    <col min="1288" max="1289" width="14" style="86" bestFit="1" customWidth="1"/>
    <col min="1290" max="1290" width="19.28515625" style="86" customWidth="1"/>
    <col min="1291" max="1291" width="21.5703125" style="86" customWidth="1"/>
    <col min="1292" max="1292" width="20" style="86" bestFit="1" customWidth="1"/>
    <col min="1293" max="1293" width="6.5703125" style="86" customWidth="1"/>
    <col min="1294" max="1294" width="13.28515625" style="86" bestFit="1" customWidth="1"/>
    <col min="1295" max="1295" width="15" style="86" bestFit="1" customWidth="1"/>
    <col min="1296" max="1296" width="15.28515625" style="86" bestFit="1" customWidth="1"/>
    <col min="1297" max="1298" width="12.7109375" style="86" bestFit="1" customWidth="1"/>
    <col min="1299" max="1303" width="8.85546875" style="86"/>
    <col min="1304" max="1304" width="15.42578125" style="86" bestFit="1" customWidth="1"/>
    <col min="1305" max="1535" width="8.85546875" style="86"/>
    <col min="1536" max="1536" width="3.140625" style="86" customWidth="1"/>
    <col min="1537" max="1537" width="38.85546875" style="86" customWidth="1"/>
    <col min="1538" max="1538" width="15.42578125" style="86" customWidth="1"/>
    <col min="1539" max="1539" width="13.7109375" style="86" customWidth="1"/>
    <col min="1540" max="1540" width="14.28515625" style="86" customWidth="1"/>
    <col min="1541" max="1541" width="11.42578125" style="86" customWidth="1"/>
    <col min="1542" max="1542" width="14.28515625" style="86" customWidth="1"/>
    <col min="1543" max="1543" width="14.7109375" style="86" customWidth="1"/>
    <col min="1544" max="1545" width="14" style="86" bestFit="1" customWidth="1"/>
    <col min="1546" max="1546" width="19.28515625" style="86" customWidth="1"/>
    <col min="1547" max="1547" width="21.5703125" style="86" customWidth="1"/>
    <col min="1548" max="1548" width="20" style="86" bestFit="1" customWidth="1"/>
    <col min="1549" max="1549" width="6.5703125" style="86" customWidth="1"/>
    <col min="1550" max="1550" width="13.28515625" style="86" bestFit="1" customWidth="1"/>
    <col min="1551" max="1551" width="15" style="86" bestFit="1" customWidth="1"/>
    <col min="1552" max="1552" width="15.28515625" style="86" bestFit="1" customWidth="1"/>
    <col min="1553" max="1554" width="12.7109375" style="86" bestFit="1" customWidth="1"/>
    <col min="1555" max="1559" width="8.85546875" style="86"/>
    <col min="1560" max="1560" width="15.42578125" style="86" bestFit="1" customWidth="1"/>
    <col min="1561" max="1791" width="8.85546875" style="86"/>
    <col min="1792" max="1792" width="3.140625" style="86" customWidth="1"/>
    <col min="1793" max="1793" width="38.85546875" style="86" customWidth="1"/>
    <col min="1794" max="1794" width="15.42578125" style="86" customWidth="1"/>
    <col min="1795" max="1795" width="13.7109375" style="86" customWidth="1"/>
    <col min="1796" max="1796" width="14.28515625" style="86" customWidth="1"/>
    <col min="1797" max="1797" width="11.42578125" style="86" customWidth="1"/>
    <col min="1798" max="1798" width="14.28515625" style="86" customWidth="1"/>
    <col min="1799" max="1799" width="14.7109375" style="86" customWidth="1"/>
    <col min="1800" max="1801" width="14" style="86" bestFit="1" customWidth="1"/>
    <col min="1802" max="1802" width="19.28515625" style="86" customWidth="1"/>
    <col min="1803" max="1803" width="21.5703125" style="86" customWidth="1"/>
    <col min="1804" max="1804" width="20" style="86" bestFit="1" customWidth="1"/>
    <col min="1805" max="1805" width="6.5703125" style="86" customWidth="1"/>
    <col min="1806" max="1806" width="13.28515625" style="86" bestFit="1" customWidth="1"/>
    <col min="1807" max="1807" width="15" style="86" bestFit="1" customWidth="1"/>
    <col min="1808" max="1808" width="15.28515625" style="86" bestFit="1" customWidth="1"/>
    <col min="1809" max="1810" width="12.7109375" style="86" bestFit="1" customWidth="1"/>
    <col min="1811" max="1815" width="8.85546875" style="86"/>
    <col min="1816" max="1816" width="15.42578125" style="86" bestFit="1" customWidth="1"/>
    <col min="1817" max="2047" width="8.85546875" style="86"/>
    <col min="2048" max="2048" width="3.140625" style="86" customWidth="1"/>
    <col min="2049" max="2049" width="38.85546875" style="86" customWidth="1"/>
    <col min="2050" max="2050" width="15.42578125" style="86" customWidth="1"/>
    <col min="2051" max="2051" width="13.7109375" style="86" customWidth="1"/>
    <col min="2052" max="2052" width="14.28515625" style="86" customWidth="1"/>
    <col min="2053" max="2053" width="11.42578125" style="86" customWidth="1"/>
    <col min="2054" max="2054" width="14.28515625" style="86" customWidth="1"/>
    <col min="2055" max="2055" width="14.7109375" style="86" customWidth="1"/>
    <col min="2056" max="2057" width="14" style="86" bestFit="1" customWidth="1"/>
    <col min="2058" max="2058" width="19.28515625" style="86" customWidth="1"/>
    <col min="2059" max="2059" width="21.5703125" style="86" customWidth="1"/>
    <col min="2060" max="2060" width="20" style="86" bestFit="1" customWidth="1"/>
    <col min="2061" max="2061" width="6.5703125" style="86" customWidth="1"/>
    <col min="2062" max="2062" width="13.28515625" style="86" bestFit="1" customWidth="1"/>
    <col min="2063" max="2063" width="15" style="86" bestFit="1" customWidth="1"/>
    <col min="2064" max="2064" width="15.28515625" style="86" bestFit="1" customWidth="1"/>
    <col min="2065" max="2066" width="12.7109375" style="86" bestFit="1" customWidth="1"/>
    <col min="2067" max="2071" width="8.85546875" style="86"/>
    <col min="2072" max="2072" width="15.42578125" style="86" bestFit="1" customWidth="1"/>
    <col min="2073" max="2303" width="8.85546875" style="86"/>
    <col min="2304" max="2304" width="3.140625" style="86" customWidth="1"/>
    <col min="2305" max="2305" width="38.85546875" style="86" customWidth="1"/>
    <col min="2306" max="2306" width="15.42578125" style="86" customWidth="1"/>
    <col min="2307" max="2307" width="13.7109375" style="86" customWidth="1"/>
    <col min="2308" max="2308" width="14.28515625" style="86" customWidth="1"/>
    <col min="2309" max="2309" width="11.42578125" style="86" customWidth="1"/>
    <col min="2310" max="2310" width="14.28515625" style="86" customWidth="1"/>
    <col min="2311" max="2311" width="14.7109375" style="86" customWidth="1"/>
    <col min="2312" max="2313" width="14" style="86" bestFit="1" customWidth="1"/>
    <col min="2314" max="2314" width="19.28515625" style="86" customWidth="1"/>
    <col min="2315" max="2315" width="21.5703125" style="86" customWidth="1"/>
    <col min="2316" max="2316" width="20" style="86" bestFit="1" customWidth="1"/>
    <col min="2317" max="2317" width="6.5703125" style="86" customWidth="1"/>
    <col min="2318" max="2318" width="13.28515625" style="86" bestFit="1" customWidth="1"/>
    <col min="2319" max="2319" width="15" style="86" bestFit="1" customWidth="1"/>
    <col min="2320" max="2320" width="15.28515625" style="86" bestFit="1" customWidth="1"/>
    <col min="2321" max="2322" width="12.7109375" style="86" bestFit="1" customWidth="1"/>
    <col min="2323" max="2327" width="8.85546875" style="86"/>
    <col min="2328" max="2328" width="15.42578125" style="86" bestFit="1" customWidth="1"/>
    <col min="2329" max="2559" width="8.85546875" style="86"/>
    <col min="2560" max="2560" width="3.140625" style="86" customWidth="1"/>
    <col min="2561" max="2561" width="38.85546875" style="86" customWidth="1"/>
    <col min="2562" max="2562" width="15.42578125" style="86" customWidth="1"/>
    <col min="2563" max="2563" width="13.7109375" style="86" customWidth="1"/>
    <col min="2564" max="2564" width="14.28515625" style="86" customWidth="1"/>
    <col min="2565" max="2565" width="11.42578125" style="86" customWidth="1"/>
    <col min="2566" max="2566" width="14.28515625" style="86" customWidth="1"/>
    <col min="2567" max="2567" width="14.7109375" style="86" customWidth="1"/>
    <col min="2568" max="2569" width="14" style="86" bestFit="1" customWidth="1"/>
    <col min="2570" max="2570" width="19.28515625" style="86" customWidth="1"/>
    <col min="2571" max="2571" width="21.5703125" style="86" customWidth="1"/>
    <col min="2572" max="2572" width="20" style="86" bestFit="1" customWidth="1"/>
    <col min="2573" max="2573" width="6.5703125" style="86" customWidth="1"/>
    <col min="2574" max="2574" width="13.28515625" style="86" bestFit="1" customWidth="1"/>
    <col min="2575" max="2575" width="15" style="86" bestFit="1" customWidth="1"/>
    <col min="2576" max="2576" width="15.28515625" style="86" bestFit="1" customWidth="1"/>
    <col min="2577" max="2578" width="12.7109375" style="86" bestFit="1" customWidth="1"/>
    <col min="2579" max="2583" width="8.85546875" style="86"/>
    <col min="2584" max="2584" width="15.42578125" style="86" bestFit="1" customWidth="1"/>
    <col min="2585" max="2815" width="8.85546875" style="86"/>
    <col min="2816" max="2816" width="3.140625" style="86" customWidth="1"/>
    <col min="2817" max="2817" width="38.85546875" style="86" customWidth="1"/>
    <col min="2818" max="2818" width="15.42578125" style="86" customWidth="1"/>
    <col min="2819" max="2819" width="13.7109375" style="86" customWidth="1"/>
    <col min="2820" max="2820" width="14.28515625" style="86" customWidth="1"/>
    <col min="2821" max="2821" width="11.42578125" style="86" customWidth="1"/>
    <col min="2822" max="2822" width="14.28515625" style="86" customWidth="1"/>
    <col min="2823" max="2823" width="14.7109375" style="86" customWidth="1"/>
    <col min="2824" max="2825" width="14" style="86" bestFit="1" customWidth="1"/>
    <col min="2826" max="2826" width="19.28515625" style="86" customWidth="1"/>
    <col min="2827" max="2827" width="21.5703125" style="86" customWidth="1"/>
    <col min="2828" max="2828" width="20" style="86" bestFit="1" customWidth="1"/>
    <col min="2829" max="2829" width="6.5703125" style="86" customWidth="1"/>
    <col min="2830" max="2830" width="13.28515625" style="86" bestFit="1" customWidth="1"/>
    <col min="2831" max="2831" width="15" style="86" bestFit="1" customWidth="1"/>
    <col min="2832" max="2832" width="15.28515625" style="86" bestFit="1" customWidth="1"/>
    <col min="2833" max="2834" width="12.7109375" style="86" bestFit="1" customWidth="1"/>
    <col min="2835" max="2839" width="8.85546875" style="86"/>
    <col min="2840" max="2840" width="15.42578125" style="86" bestFit="1" customWidth="1"/>
    <col min="2841" max="3071" width="8.85546875" style="86"/>
    <col min="3072" max="3072" width="3.140625" style="86" customWidth="1"/>
    <col min="3073" max="3073" width="38.85546875" style="86" customWidth="1"/>
    <col min="3074" max="3074" width="15.42578125" style="86" customWidth="1"/>
    <col min="3075" max="3075" width="13.7109375" style="86" customWidth="1"/>
    <col min="3076" max="3076" width="14.28515625" style="86" customWidth="1"/>
    <col min="3077" max="3077" width="11.42578125" style="86" customWidth="1"/>
    <col min="3078" max="3078" width="14.28515625" style="86" customWidth="1"/>
    <col min="3079" max="3079" width="14.7109375" style="86" customWidth="1"/>
    <col min="3080" max="3081" width="14" style="86" bestFit="1" customWidth="1"/>
    <col min="3082" max="3082" width="19.28515625" style="86" customWidth="1"/>
    <col min="3083" max="3083" width="21.5703125" style="86" customWidth="1"/>
    <col min="3084" max="3084" width="20" style="86" bestFit="1" customWidth="1"/>
    <col min="3085" max="3085" width="6.5703125" style="86" customWidth="1"/>
    <col min="3086" max="3086" width="13.28515625" style="86" bestFit="1" customWidth="1"/>
    <col min="3087" max="3087" width="15" style="86" bestFit="1" customWidth="1"/>
    <col min="3088" max="3088" width="15.28515625" style="86" bestFit="1" customWidth="1"/>
    <col min="3089" max="3090" width="12.7109375" style="86" bestFit="1" customWidth="1"/>
    <col min="3091" max="3095" width="8.85546875" style="86"/>
    <col min="3096" max="3096" width="15.42578125" style="86" bestFit="1" customWidth="1"/>
    <col min="3097" max="3327" width="8.85546875" style="86"/>
    <col min="3328" max="3328" width="3.140625" style="86" customWidth="1"/>
    <col min="3329" max="3329" width="38.85546875" style="86" customWidth="1"/>
    <col min="3330" max="3330" width="15.42578125" style="86" customWidth="1"/>
    <col min="3331" max="3331" width="13.7109375" style="86" customWidth="1"/>
    <col min="3332" max="3332" width="14.28515625" style="86" customWidth="1"/>
    <col min="3333" max="3333" width="11.42578125" style="86" customWidth="1"/>
    <col min="3334" max="3334" width="14.28515625" style="86" customWidth="1"/>
    <col min="3335" max="3335" width="14.7109375" style="86" customWidth="1"/>
    <col min="3336" max="3337" width="14" style="86" bestFit="1" customWidth="1"/>
    <col min="3338" max="3338" width="19.28515625" style="86" customWidth="1"/>
    <col min="3339" max="3339" width="21.5703125" style="86" customWidth="1"/>
    <col min="3340" max="3340" width="20" style="86" bestFit="1" customWidth="1"/>
    <col min="3341" max="3341" width="6.5703125" style="86" customWidth="1"/>
    <col min="3342" max="3342" width="13.28515625" style="86" bestFit="1" customWidth="1"/>
    <col min="3343" max="3343" width="15" style="86" bestFit="1" customWidth="1"/>
    <col min="3344" max="3344" width="15.28515625" style="86" bestFit="1" customWidth="1"/>
    <col min="3345" max="3346" width="12.7109375" style="86" bestFit="1" customWidth="1"/>
    <col min="3347" max="3351" width="8.85546875" style="86"/>
    <col min="3352" max="3352" width="15.42578125" style="86" bestFit="1" customWidth="1"/>
    <col min="3353" max="3583" width="8.85546875" style="86"/>
    <col min="3584" max="3584" width="3.140625" style="86" customWidth="1"/>
    <col min="3585" max="3585" width="38.85546875" style="86" customWidth="1"/>
    <col min="3586" max="3586" width="15.42578125" style="86" customWidth="1"/>
    <col min="3587" max="3587" width="13.7109375" style="86" customWidth="1"/>
    <col min="3588" max="3588" width="14.28515625" style="86" customWidth="1"/>
    <col min="3589" max="3589" width="11.42578125" style="86" customWidth="1"/>
    <col min="3590" max="3590" width="14.28515625" style="86" customWidth="1"/>
    <col min="3591" max="3591" width="14.7109375" style="86" customWidth="1"/>
    <col min="3592" max="3593" width="14" style="86" bestFit="1" customWidth="1"/>
    <col min="3594" max="3594" width="19.28515625" style="86" customWidth="1"/>
    <col min="3595" max="3595" width="21.5703125" style="86" customWidth="1"/>
    <col min="3596" max="3596" width="20" style="86" bestFit="1" customWidth="1"/>
    <col min="3597" max="3597" width="6.5703125" style="86" customWidth="1"/>
    <col min="3598" max="3598" width="13.28515625" style="86" bestFit="1" customWidth="1"/>
    <col min="3599" max="3599" width="15" style="86" bestFit="1" customWidth="1"/>
    <col min="3600" max="3600" width="15.28515625" style="86" bestFit="1" customWidth="1"/>
    <col min="3601" max="3602" width="12.7109375" style="86" bestFit="1" customWidth="1"/>
    <col min="3603" max="3607" width="8.85546875" style="86"/>
    <col min="3608" max="3608" width="15.42578125" style="86" bestFit="1" customWidth="1"/>
    <col min="3609" max="3839" width="8.85546875" style="86"/>
    <col min="3840" max="3840" width="3.140625" style="86" customWidth="1"/>
    <col min="3841" max="3841" width="38.85546875" style="86" customWidth="1"/>
    <col min="3842" max="3842" width="15.42578125" style="86" customWidth="1"/>
    <col min="3843" max="3843" width="13.7109375" style="86" customWidth="1"/>
    <col min="3844" max="3844" width="14.28515625" style="86" customWidth="1"/>
    <col min="3845" max="3845" width="11.42578125" style="86" customWidth="1"/>
    <col min="3846" max="3846" width="14.28515625" style="86" customWidth="1"/>
    <col min="3847" max="3847" width="14.7109375" style="86" customWidth="1"/>
    <col min="3848" max="3849" width="14" style="86" bestFit="1" customWidth="1"/>
    <col min="3850" max="3850" width="19.28515625" style="86" customWidth="1"/>
    <col min="3851" max="3851" width="21.5703125" style="86" customWidth="1"/>
    <col min="3852" max="3852" width="20" style="86" bestFit="1" customWidth="1"/>
    <col min="3853" max="3853" width="6.5703125" style="86" customWidth="1"/>
    <col min="3854" max="3854" width="13.28515625" style="86" bestFit="1" customWidth="1"/>
    <col min="3855" max="3855" width="15" style="86" bestFit="1" customWidth="1"/>
    <col min="3856" max="3856" width="15.28515625" style="86" bestFit="1" customWidth="1"/>
    <col min="3857" max="3858" width="12.7109375" style="86" bestFit="1" customWidth="1"/>
    <col min="3859" max="3863" width="8.85546875" style="86"/>
    <col min="3864" max="3864" width="15.42578125" style="86" bestFit="1" customWidth="1"/>
    <col min="3865" max="4095" width="8.85546875" style="86"/>
    <col min="4096" max="4096" width="3.140625" style="86" customWidth="1"/>
    <col min="4097" max="4097" width="38.85546875" style="86" customWidth="1"/>
    <col min="4098" max="4098" width="15.42578125" style="86" customWidth="1"/>
    <col min="4099" max="4099" width="13.7109375" style="86" customWidth="1"/>
    <col min="4100" max="4100" width="14.28515625" style="86" customWidth="1"/>
    <col min="4101" max="4101" width="11.42578125" style="86" customWidth="1"/>
    <col min="4102" max="4102" width="14.28515625" style="86" customWidth="1"/>
    <col min="4103" max="4103" width="14.7109375" style="86" customWidth="1"/>
    <col min="4104" max="4105" width="14" style="86" bestFit="1" customWidth="1"/>
    <col min="4106" max="4106" width="19.28515625" style="86" customWidth="1"/>
    <col min="4107" max="4107" width="21.5703125" style="86" customWidth="1"/>
    <col min="4108" max="4108" width="20" style="86" bestFit="1" customWidth="1"/>
    <col min="4109" max="4109" width="6.5703125" style="86" customWidth="1"/>
    <col min="4110" max="4110" width="13.28515625" style="86" bestFit="1" customWidth="1"/>
    <col min="4111" max="4111" width="15" style="86" bestFit="1" customWidth="1"/>
    <col min="4112" max="4112" width="15.28515625" style="86" bestFit="1" customWidth="1"/>
    <col min="4113" max="4114" width="12.7109375" style="86" bestFit="1" customWidth="1"/>
    <col min="4115" max="4119" width="8.85546875" style="86"/>
    <col min="4120" max="4120" width="15.42578125" style="86" bestFit="1" customWidth="1"/>
    <col min="4121" max="4351" width="8.85546875" style="86"/>
    <col min="4352" max="4352" width="3.140625" style="86" customWidth="1"/>
    <col min="4353" max="4353" width="38.85546875" style="86" customWidth="1"/>
    <col min="4354" max="4354" width="15.42578125" style="86" customWidth="1"/>
    <col min="4355" max="4355" width="13.7109375" style="86" customWidth="1"/>
    <col min="4356" max="4356" width="14.28515625" style="86" customWidth="1"/>
    <col min="4357" max="4357" width="11.42578125" style="86" customWidth="1"/>
    <col min="4358" max="4358" width="14.28515625" style="86" customWidth="1"/>
    <col min="4359" max="4359" width="14.7109375" style="86" customWidth="1"/>
    <col min="4360" max="4361" width="14" style="86" bestFit="1" customWidth="1"/>
    <col min="4362" max="4362" width="19.28515625" style="86" customWidth="1"/>
    <col min="4363" max="4363" width="21.5703125" style="86" customWidth="1"/>
    <col min="4364" max="4364" width="20" style="86" bestFit="1" customWidth="1"/>
    <col min="4365" max="4365" width="6.5703125" style="86" customWidth="1"/>
    <col min="4366" max="4366" width="13.28515625" style="86" bestFit="1" customWidth="1"/>
    <col min="4367" max="4367" width="15" style="86" bestFit="1" customWidth="1"/>
    <col min="4368" max="4368" width="15.28515625" style="86" bestFit="1" customWidth="1"/>
    <col min="4369" max="4370" width="12.7109375" style="86" bestFit="1" customWidth="1"/>
    <col min="4371" max="4375" width="8.85546875" style="86"/>
    <col min="4376" max="4376" width="15.42578125" style="86" bestFit="1" customWidth="1"/>
    <col min="4377" max="4607" width="8.85546875" style="86"/>
    <col min="4608" max="4608" width="3.140625" style="86" customWidth="1"/>
    <col min="4609" max="4609" width="38.85546875" style="86" customWidth="1"/>
    <col min="4610" max="4610" width="15.42578125" style="86" customWidth="1"/>
    <col min="4611" max="4611" width="13.7109375" style="86" customWidth="1"/>
    <col min="4612" max="4612" width="14.28515625" style="86" customWidth="1"/>
    <col min="4613" max="4613" width="11.42578125" style="86" customWidth="1"/>
    <col min="4614" max="4614" width="14.28515625" style="86" customWidth="1"/>
    <col min="4615" max="4615" width="14.7109375" style="86" customWidth="1"/>
    <col min="4616" max="4617" width="14" style="86" bestFit="1" customWidth="1"/>
    <col min="4618" max="4618" width="19.28515625" style="86" customWidth="1"/>
    <col min="4619" max="4619" width="21.5703125" style="86" customWidth="1"/>
    <col min="4620" max="4620" width="20" style="86" bestFit="1" customWidth="1"/>
    <col min="4621" max="4621" width="6.5703125" style="86" customWidth="1"/>
    <col min="4622" max="4622" width="13.28515625" style="86" bestFit="1" customWidth="1"/>
    <col min="4623" max="4623" width="15" style="86" bestFit="1" customWidth="1"/>
    <col min="4624" max="4624" width="15.28515625" style="86" bestFit="1" customWidth="1"/>
    <col min="4625" max="4626" width="12.7109375" style="86" bestFit="1" customWidth="1"/>
    <col min="4627" max="4631" width="8.85546875" style="86"/>
    <col min="4632" max="4632" width="15.42578125" style="86" bestFit="1" customWidth="1"/>
    <col min="4633" max="4863" width="8.85546875" style="86"/>
    <col min="4864" max="4864" width="3.140625" style="86" customWidth="1"/>
    <col min="4865" max="4865" width="38.85546875" style="86" customWidth="1"/>
    <col min="4866" max="4866" width="15.42578125" style="86" customWidth="1"/>
    <col min="4867" max="4867" width="13.7109375" style="86" customWidth="1"/>
    <col min="4868" max="4868" width="14.28515625" style="86" customWidth="1"/>
    <col min="4869" max="4869" width="11.42578125" style="86" customWidth="1"/>
    <col min="4870" max="4870" width="14.28515625" style="86" customWidth="1"/>
    <col min="4871" max="4871" width="14.7109375" style="86" customWidth="1"/>
    <col min="4872" max="4873" width="14" style="86" bestFit="1" customWidth="1"/>
    <col min="4874" max="4874" width="19.28515625" style="86" customWidth="1"/>
    <col min="4875" max="4875" width="21.5703125" style="86" customWidth="1"/>
    <col min="4876" max="4876" width="20" style="86" bestFit="1" customWidth="1"/>
    <col min="4877" max="4877" width="6.5703125" style="86" customWidth="1"/>
    <col min="4878" max="4878" width="13.28515625" style="86" bestFit="1" customWidth="1"/>
    <col min="4879" max="4879" width="15" style="86" bestFit="1" customWidth="1"/>
    <col min="4880" max="4880" width="15.28515625" style="86" bestFit="1" customWidth="1"/>
    <col min="4881" max="4882" width="12.7109375" style="86" bestFit="1" customWidth="1"/>
    <col min="4883" max="4887" width="8.85546875" style="86"/>
    <col min="4888" max="4888" width="15.42578125" style="86" bestFit="1" customWidth="1"/>
    <col min="4889" max="5119" width="8.85546875" style="86"/>
    <col min="5120" max="5120" width="3.140625" style="86" customWidth="1"/>
    <col min="5121" max="5121" width="38.85546875" style="86" customWidth="1"/>
    <col min="5122" max="5122" width="15.42578125" style="86" customWidth="1"/>
    <col min="5123" max="5123" width="13.7109375" style="86" customWidth="1"/>
    <col min="5124" max="5124" width="14.28515625" style="86" customWidth="1"/>
    <col min="5125" max="5125" width="11.42578125" style="86" customWidth="1"/>
    <col min="5126" max="5126" width="14.28515625" style="86" customWidth="1"/>
    <col min="5127" max="5127" width="14.7109375" style="86" customWidth="1"/>
    <col min="5128" max="5129" width="14" style="86" bestFit="1" customWidth="1"/>
    <col min="5130" max="5130" width="19.28515625" style="86" customWidth="1"/>
    <col min="5131" max="5131" width="21.5703125" style="86" customWidth="1"/>
    <col min="5132" max="5132" width="20" style="86" bestFit="1" customWidth="1"/>
    <col min="5133" max="5133" width="6.5703125" style="86" customWidth="1"/>
    <col min="5134" max="5134" width="13.28515625" style="86" bestFit="1" customWidth="1"/>
    <col min="5135" max="5135" width="15" style="86" bestFit="1" customWidth="1"/>
    <col min="5136" max="5136" width="15.28515625" style="86" bestFit="1" customWidth="1"/>
    <col min="5137" max="5138" width="12.7109375" style="86" bestFit="1" customWidth="1"/>
    <col min="5139" max="5143" width="8.85546875" style="86"/>
    <col min="5144" max="5144" width="15.42578125" style="86" bestFit="1" customWidth="1"/>
    <col min="5145" max="5375" width="8.85546875" style="86"/>
    <col min="5376" max="5376" width="3.140625" style="86" customWidth="1"/>
    <col min="5377" max="5377" width="38.85546875" style="86" customWidth="1"/>
    <col min="5378" max="5378" width="15.42578125" style="86" customWidth="1"/>
    <col min="5379" max="5379" width="13.7109375" style="86" customWidth="1"/>
    <col min="5380" max="5380" width="14.28515625" style="86" customWidth="1"/>
    <col min="5381" max="5381" width="11.42578125" style="86" customWidth="1"/>
    <col min="5382" max="5382" width="14.28515625" style="86" customWidth="1"/>
    <col min="5383" max="5383" width="14.7109375" style="86" customWidth="1"/>
    <col min="5384" max="5385" width="14" style="86" bestFit="1" customWidth="1"/>
    <col min="5386" max="5386" width="19.28515625" style="86" customWidth="1"/>
    <col min="5387" max="5387" width="21.5703125" style="86" customWidth="1"/>
    <col min="5388" max="5388" width="20" style="86" bestFit="1" customWidth="1"/>
    <col min="5389" max="5389" width="6.5703125" style="86" customWidth="1"/>
    <col min="5390" max="5390" width="13.28515625" style="86" bestFit="1" customWidth="1"/>
    <col min="5391" max="5391" width="15" style="86" bestFit="1" customWidth="1"/>
    <col min="5392" max="5392" width="15.28515625" style="86" bestFit="1" customWidth="1"/>
    <col min="5393" max="5394" width="12.7109375" style="86" bestFit="1" customWidth="1"/>
    <col min="5395" max="5399" width="8.85546875" style="86"/>
    <col min="5400" max="5400" width="15.42578125" style="86" bestFit="1" customWidth="1"/>
    <col min="5401" max="5631" width="8.85546875" style="86"/>
    <col min="5632" max="5632" width="3.140625" style="86" customWidth="1"/>
    <col min="5633" max="5633" width="38.85546875" style="86" customWidth="1"/>
    <col min="5634" max="5634" width="15.42578125" style="86" customWidth="1"/>
    <col min="5635" max="5635" width="13.7109375" style="86" customWidth="1"/>
    <col min="5636" max="5636" width="14.28515625" style="86" customWidth="1"/>
    <col min="5637" max="5637" width="11.42578125" style="86" customWidth="1"/>
    <col min="5638" max="5638" width="14.28515625" style="86" customWidth="1"/>
    <col min="5639" max="5639" width="14.7109375" style="86" customWidth="1"/>
    <col min="5640" max="5641" width="14" style="86" bestFit="1" customWidth="1"/>
    <col min="5642" max="5642" width="19.28515625" style="86" customWidth="1"/>
    <col min="5643" max="5643" width="21.5703125" style="86" customWidth="1"/>
    <col min="5644" max="5644" width="20" style="86" bestFit="1" customWidth="1"/>
    <col min="5645" max="5645" width="6.5703125" style="86" customWidth="1"/>
    <col min="5646" max="5646" width="13.28515625" style="86" bestFit="1" customWidth="1"/>
    <col min="5647" max="5647" width="15" style="86" bestFit="1" customWidth="1"/>
    <col min="5648" max="5648" width="15.28515625" style="86" bestFit="1" customWidth="1"/>
    <col min="5649" max="5650" width="12.7109375" style="86" bestFit="1" customWidth="1"/>
    <col min="5651" max="5655" width="8.85546875" style="86"/>
    <col min="5656" max="5656" width="15.42578125" style="86" bestFit="1" customWidth="1"/>
    <col min="5657" max="5887" width="8.85546875" style="86"/>
    <col min="5888" max="5888" width="3.140625" style="86" customWidth="1"/>
    <col min="5889" max="5889" width="38.85546875" style="86" customWidth="1"/>
    <col min="5890" max="5890" width="15.42578125" style="86" customWidth="1"/>
    <col min="5891" max="5891" width="13.7109375" style="86" customWidth="1"/>
    <col min="5892" max="5892" width="14.28515625" style="86" customWidth="1"/>
    <col min="5893" max="5893" width="11.42578125" style="86" customWidth="1"/>
    <col min="5894" max="5894" width="14.28515625" style="86" customWidth="1"/>
    <col min="5895" max="5895" width="14.7109375" style="86" customWidth="1"/>
    <col min="5896" max="5897" width="14" style="86" bestFit="1" customWidth="1"/>
    <col min="5898" max="5898" width="19.28515625" style="86" customWidth="1"/>
    <col min="5899" max="5899" width="21.5703125" style="86" customWidth="1"/>
    <col min="5900" max="5900" width="20" style="86" bestFit="1" customWidth="1"/>
    <col min="5901" max="5901" width="6.5703125" style="86" customWidth="1"/>
    <col min="5902" max="5902" width="13.28515625" style="86" bestFit="1" customWidth="1"/>
    <col min="5903" max="5903" width="15" style="86" bestFit="1" customWidth="1"/>
    <col min="5904" max="5904" width="15.28515625" style="86" bestFit="1" customWidth="1"/>
    <col min="5905" max="5906" width="12.7109375" style="86" bestFit="1" customWidth="1"/>
    <col min="5907" max="5911" width="8.85546875" style="86"/>
    <col min="5912" max="5912" width="15.42578125" style="86" bestFit="1" customWidth="1"/>
    <col min="5913" max="6143" width="8.85546875" style="86"/>
    <col min="6144" max="6144" width="3.140625" style="86" customWidth="1"/>
    <col min="6145" max="6145" width="38.85546875" style="86" customWidth="1"/>
    <col min="6146" max="6146" width="15.42578125" style="86" customWidth="1"/>
    <col min="6147" max="6147" width="13.7109375" style="86" customWidth="1"/>
    <col min="6148" max="6148" width="14.28515625" style="86" customWidth="1"/>
    <col min="6149" max="6149" width="11.42578125" style="86" customWidth="1"/>
    <col min="6150" max="6150" width="14.28515625" style="86" customWidth="1"/>
    <col min="6151" max="6151" width="14.7109375" style="86" customWidth="1"/>
    <col min="6152" max="6153" width="14" style="86" bestFit="1" customWidth="1"/>
    <col min="6154" max="6154" width="19.28515625" style="86" customWidth="1"/>
    <col min="6155" max="6155" width="21.5703125" style="86" customWidth="1"/>
    <col min="6156" max="6156" width="20" style="86" bestFit="1" customWidth="1"/>
    <col min="6157" max="6157" width="6.5703125" style="86" customWidth="1"/>
    <col min="6158" max="6158" width="13.28515625" style="86" bestFit="1" customWidth="1"/>
    <col min="6159" max="6159" width="15" style="86" bestFit="1" customWidth="1"/>
    <col min="6160" max="6160" width="15.28515625" style="86" bestFit="1" customWidth="1"/>
    <col min="6161" max="6162" width="12.7109375" style="86" bestFit="1" customWidth="1"/>
    <col min="6163" max="6167" width="8.85546875" style="86"/>
    <col min="6168" max="6168" width="15.42578125" style="86" bestFit="1" customWidth="1"/>
    <col min="6169" max="6399" width="8.85546875" style="86"/>
    <col min="6400" max="6400" width="3.140625" style="86" customWidth="1"/>
    <col min="6401" max="6401" width="38.85546875" style="86" customWidth="1"/>
    <col min="6402" max="6402" width="15.42578125" style="86" customWidth="1"/>
    <col min="6403" max="6403" width="13.7109375" style="86" customWidth="1"/>
    <col min="6404" max="6404" width="14.28515625" style="86" customWidth="1"/>
    <col min="6405" max="6405" width="11.42578125" style="86" customWidth="1"/>
    <col min="6406" max="6406" width="14.28515625" style="86" customWidth="1"/>
    <col min="6407" max="6407" width="14.7109375" style="86" customWidth="1"/>
    <col min="6408" max="6409" width="14" style="86" bestFit="1" customWidth="1"/>
    <col min="6410" max="6410" width="19.28515625" style="86" customWidth="1"/>
    <col min="6411" max="6411" width="21.5703125" style="86" customWidth="1"/>
    <col min="6412" max="6412" width="20" style="86" bestFit="1" customWidth="1"/>
    <col min="6413" max="6413" width="6.5703125" style="86" customWidth="1"/>
    <col min="6414" max="6414" width="13.28515625" style="86" bestFit="1" customWidth="1"/>
    <col min="6415" max="6415" width="15" style="86" bestFit="1" customWidth="1"/>
    <col min="6416" max="6416" width="15.28515625" style="86" bestFit="1" customWidth="1"/>
    <col min="6417" max="6418" width="12.7109375" style="86" bestFit="1" customWidth="1"/>
    <col min="6419" max="6423" width="8.85546875" style="86"/>
    <col min="6424" max="6424" width="15.42578125" style="86" bestFit="1" customWidth="1"/>
    <col min="6425" max="6655" width="8.85546875" style="86"/>
    <col min="6656" max="6656" width="3.140625" style="86" customWidth="1"/>
    <col min="6657" max="6657" width="38.85546875" style="86" customWidth="1"/>
    <col min="6658" max="6658" width="15.42578125" style="86" customWidth="1"/>
    <col min="6659" max="6659" width="13.7109375" style="86" customWidth="1"/>
    <col min="6660" max="6660" width="14.28515625" style="86" customWidth="1"/>
    <col min="6661" max="6661" width="11.42578125" style="86" customWidth="1"/>
    <col min="6662" max="6662" width="14.28515625" style="86" customWidth="1"/>
    <col min="6663" max="6663" width="14.7109375" style="86" customWidth="1"/>
    <col min="6664" max="6665" width="14" style="86" bestFit="1" customWidth="1"/>
    <col min="6666" max="6666" width="19.28515625" style="86" customWidth="1"/>
    <col min="6667" max="6667" width="21.5703125" style="86" customWidth="1"/>
    <col min="6668" max="6668" width="20" style="86" bestFit="1" customWidth="1"/>
    <col min="6669" max="6669" width="6.5703125" style="86" customWidth="1"/>
    <col min="6670" max="6670" width="13.28515625" style="86" bestFit="1" customWidth="1"/>
    <col min="6671" max="6671" width="15" style="86" bestFit="1" customWidth="1"/>
    <col min="6672" max="6672" width="15.28515625" style="86" bestFit="1" customWidth="1"/>
    <col min="6673" max="6674" width="12.7109375" style="86" bestFit="1" customWidth="1"/>
    <col min="6675" max="6679" width="8.85546875" style="86"/>
    <col min="6680" max="6680" width="15.42578125" style="86" bestFit="1" customWidth="1"/>
    <col min="6681" max="6911" width="8.85546875" style="86"/>
    <col min="6912" max="6912" width="3.140625" style="86" customWidth="1"/>
    <col min="6913" max="6913" width="38.85546875" style="86" customWidth="1"/>
    <col min="6914" max="6914" width="15.42578125" style="86" customWidth="1"/>
    <col min="6915" max="6915" width="13.7109375" style="86" customWidth="1"/>
    <col min="6916" max="6916" width="14.28515625" style="86" customWidth="1"/>
    <col min="6917" max="6917" width="11.42578125" style="86" customWidth="1"/>
    <col min="6918" max="6918" width="14.28515625" style="86" customWidth="1"/>
    <col min="6919" max="6919" width="14.7109375" style="86" customWidth="1"/>
    <col min="6920" max="6921" width="14" style="86" bestFit="1" customWidth="1"/>
    <col min="6922" max="6922" width="19.28515625" style="86" customWidth="1"/>
    <col min="6923" max="6923" width="21.5703125" style="86" customWidth="1"/>
    <col min="6924" max="6924" width="20" style="86" bestFit="1" customWidth="1"/>
    <col min="6925" max="6925" width="6.5703125" style="86" customWidth="1"/>
    <col min="6926" max="6926" width="13.28515625" style="86" bestFit="1" customWidth="1"/>
    <col min="6927" max="6927" width="15" style="86" bestFit="1" customWidth="1"/>
    <col min="6928" max="6928" width="15.28515625" style="86" bestFit="1" customWidth="1"/>
    <col min="6929" max="6930" width="12.7109375" style="86" bestFit="1" customWidth="1"/>
    <col min="6931" max="6935" width="8.85546875" style="86"/>
    <col min="6936" max="6936" width="15.42578125" style="86" bestFit="1" customWidth="1"/>
    <col min="6937" max="7167" width="8.85546875" style="86"/>
    <col min="7168" max="7168" width="3.140625" style="86" customWidth="1"/>
    <col min="7169" max="7169" width="38.85546875" style="86" customWidth="1"/>
    <col min="7170" max="7170" width="15.42578125" style="86" customWidth="1"/>
    <col min="7171" max="7171" width="13.7109375" style="86" customWidth="1"/>
    <col min="7172" max="7172" width="14.28515625" style="86" customWidth="1"/>
    <col min="7173" max="7173" width="11.42578125" style="86" customWidth="1"/>
    <col min="7174" max="7174" width="14.28515625" style="86" customWidth="1"/>
    <col min="7175" max="7175" width="14.7109375" style="86" customWidth="1"/>
    <col min="7176" max="7177" width="14" style="86" bestFit="1" customWidth="1"/>
    <col min="7178" max="7178" width="19.28515625" style="86" customWidth="1"/>
    <col min="7179" max="7179" width="21.5703125" style="86" customWidth="1"/>
    <col min="7180" max="7180" width="20" style="86" bestFit="1" customWidth="1"/>
    <col min="7181" max="7181" width="6.5703125" style="86" customWidth="1"/>
    <col min="7182" max="7182" width="13.28515625" style="86" bestFit="1" customWidth="1"/>
    <col min="7183" max="7183" width="15" style="86" bestFit="1" customWidth="1"/>
    <col min="7184" max="7184" width="15.28515625" style="86" bestFit="1" customWidth="1"/>
    <col min="7185" max="7186" width="12.7109375" style="86" bestFit="1" customWidth="1"/>
    <col min="7187" max="7191" width="8.85546875" style="86"/>
    <col min="7192" max="7192" width="15.42578125" style="86" bestFit="1" customWidth="1"/>
    <col min="7193" max="7423" width="8.85546875" style="86"/>
    <col min="7424" max="7424" width="3.140625" style="86" customWidth="1"/>
    <col min="7425" max="7425" width="38.85546875" style="86" customWidth="1"/>
    <col min="7426" max="7426" width="15.42578125" style="86" customWidth="1"/>
    <col min="7427" max="7427" width="13.7109375" style="86" customWidth="1"/>
    <col min="7428" max="7428" width="14.28515625" style="86" customWidth="1"/>
    <col min="7429" max="7429" width="11.42578125" style="86" customWidth="1"/>
    <col min="7430" max="7430" width="14.28515625" style="86" customWidth="1"/>
    <col min="7431" max="7431" width="14.7109375" style="86" customWidth="1"/>
    <col min="7432" max="7433" width="14" style="86" bestFit="1" customWidth="1"/>
    <col min="7434" max="7434" width="19.28515625" style="86" customWidth="1"/>
    <col min="7435" max="7435" width="21.5703125" style="86" customWidth="1"/>
    <col min="7436" max="7436" width="20" style="86" bestFit="1" customWidth="1"/>
    <col min="7437" max="7437" width="6.5703125" style="86" customWidth="1"/>
    <col min="7438" max="7438" width="13.28515625" style="86" bestFit="1" customWidth="1"/>
    <col min="7439" max="7439" width="15" style="86" bestFit="1" customWidth="1"/>
    <col min="7440" max="7440" width="15.28515625" style="86" bestFit="1" customWidth="1"/>
    <col min="7441" max="7442" width="12.7109375" style="86" bestFit="1" customWidth="1"/>
    <col min="7443" max="7447" width="8.85546875" style="86"/>
    <col min="7448" max="7448" width="15.42578125" style="86" bestFit="1" customWidth="1"/>
    <col min="7449" max="7679" width="8.85546875" style="86"/>
    <col min="7680" max="7680" width="3.140625" style="86" customWidth="1"/>
    <col min="7681" max="7681" width="38.85546875" style="86" customWidth="1"/>
    <col min="7682" max="7682" width="15.42578125" style="86" customWidth="1"/>
    <col min="7683" max="7683" width="13.7109375" style="86" customWidth="1"/>
    <col min="7684" max="7684" width="14.28515625" style="86" customWidth="1"/>
    <col min="7685" max="7685" width="11.42578125" style="86" customWidth="1"/>
    <col min="7686" max="7686" width="14.28515625" style="86" customWidth="1"/>
    <col min="7687" max="7687" width="14.7109375" style="86" customWidth="1"/>
    <col min="7688" max="7689" width="14" style="86" bestFit="1" customWidth="1"/>
    <col min="7690" max="7690" width="19.28515625" style="86" customWidth="1"/>
    <col min="7691" max="7691" width="21.5703125" style="86" customWidth="1"/>
    <col min="7692" max="7692" width="20" style="86" bestFit="1" customWidth="1"/>
    <col min="7693" max="7693" width="6.5703125" style="86" customWidth="1"/>
    <col min="7694" max="7694" width="13.28515625" style="86" bestFit="1" customWidth="1"/>
    <col min="7695" max="7695" width="15" style="86" bestFit="1" customWidth="1"/>
    <col min="7696" max="7696" width="15.28515625" style="86" bestFit="1" customWidth="1"/>
    <col min="7697" max="7698" width="12.7109375" style="86" bestFit="1" customWidth="1"/>
    <col min="7699" max="7703" width="8.85546875" style="86"/>
    <col min="7704" max="7704" width="15.42578125" style="86" bestFit="1" customWidth="1"/>
    <col min="7705" max="7935" width="8.85546875" style="86"/>
    <col min="7936" max="7936" width="3.140625" style="86" customWidth="1"/>
    <col min="7937" max="7937" width="38.85546875" style="86" customWidth="1"/>
    <col min="7938" max="7938" width="15.42578125" style="86" customWidth="1"/>
    <col min="7939" max="7939" width="13.7109375" style="86" customWidth="1"/>
    <col min="7940" max="7940" width="14.28515625" style="86" customWidth="1"/>
    <col min="7941" max="7941" width="11.42578125" style="86" customWidth="1"/>
    <col min="7942" max="7942" width="14.28515625" style="86" customWidth="1"/>
    <col min="7943" max="7943" width="14.7109375" style="86" customWidth="1"/>
    <col min="7944" max="7945" width="14" style="86" bestFit="1" customWidth="1"/>
    <col min="7946" max="7946" width="19.28515625" style="86" customWidth="1"/>
    <col min="7947" max="7947" width="21.5703125" style="86" customWidth="1"/>
    <col min="7948" max="7948" width="20" style="86" bestFit="1" customWidth="1"/>
    <col min="7949" max="7949" width="6.5703125" style="86" customWidth="1"/>
    <col min="7950" max="7950" width="13.28515625" style="86" bestFit="1" customWidth="1"/>
    <col min="7951" max="7951" width="15" style="86" bestFit="1" customWidth="1"/>
    <col min="7952" max="7952" width="15.28515625" style="86" bestFit="1" customWidth="1"/>
    <col min="7953" max="7954" width="12.7109375" style="86" bestFit="1" customWidth="1"/>
    <col min="7955" max="7959" width="8.85546875" style="86"/>
    <col min="7960" max="7960" width="15.42578125" style="86" bestFit="1" customWidth="1"/>
    <col min="7961" max="8191" width="8.85546875" style="86"/>
    <col min="8192" max="8192" width="3.140625" style="86" customWidth="1"/>
    <col min="8193" max="8193" width="38.85546875" style="86" customWidth="1"/>
    <col min="8194" max="8194" width="15.42578125" style="86" customWidth="1"/>
    <col min="8195" max="8195" width="13.7109375" style="86" customWidth="1"/>
    <col min="8196" max="8196" width="14.28515625" style="86" customWidth="1"/>
    <col min="8197" max="8197" width="11.42578125" style="86" customWidth="1"/>
    <col min="8198" max="8198" width="14.28515625" style="86" customWidth="1"/>
    <col min="8199" max="8199" width="14.7109375" style="86" customWidth="1"/>
    <col min="8200" max="8201" width="14" style="86" bestFit="1" customWidth="1"/>
    <col min="8202" max="8202" width="19.28515625" style="86" customWidth="1"/>
    <col min="8203" max="8203" width="21.5703125" style="86" customWidth="1"/>
    <col min="8204" max="8204" width="20" style="86" bestFit="1" customWidth="1"/>
    <col min="8205" max="8205" width="6.5703125" style="86" customWidth="1"/>
    <col min="8206" max="8206" width="13.28515625" style="86" bestFit="1" customWidth="1"/>
    <col min="8207" max="8207" width="15" style="86" bestFit="1" customWidth="1"/>
    <col min="8208" max="8208" width="15.28515625" style="86" bestFit="1" customWidth="1"/>
    <col min="8209" max="8210" width="12.7109375" style="86" bestFit="1" customWidth="1"/>
    <col min="8211" max="8215" width="8.85546875" style="86"/>
    <col min="8216" max="8216" width="15.42578125" style="86" bestFit="1" customWidth="1"/>
    <col min="8217" max="8447" width="8.85546875" style="86"/>
    <col min="8448" max="8448" width="3.140625" style="86" customWidth="1"/>
    <col min="8449" max="8449" width="38.85546875" style="86" customWidth="1"/>
    <col min="8450" max="8450" width="15.42578125" style="86" customWidth="1"/>
    <col min="8451" max="8451" width="13.7109375" style="86" customWidth="1"/>
    <col min="8452" max="8452" width="14.28515625" style="86" customWidth="1"/>
    <col min="8453" max="8453" width="11.42578125" style="86" customWidth="1"/>
    <col min="8454" max="8454" width="14.28515625" style="86" customWidth="1"/>
    <col min="8455" max="8455" width="14.7109375" style="86" customWidth="1"/>
    <col min="8456" max="8457" width="14" style="86" bestFit="1" customWidth="1"/>
    <col min="8458" max="8458" width="19.28515625" style="86" customWidth="1"/>
    <col min="8459" max="8459" width="21.5703125" style="86" customWidth="1"/>
    <col min="8460" max="8460" width="20" style="86" bestFit="1" customWidth="1"/>
    <col min="8461" max="8461" width="6.5703125" style="86" customWidth="1"/>
    <col min="8462" max="8462" width="13.28515625" style="86" bestFit="1" customWidth="1"/>
    <col min="8463" max="8463" width="15" style="86" bestFit="1" customWidth="1"/>
    <col min="8464" max="8464" width="15.28515625" style="86" bestFit="1" customWidth="1"/>
    <col min="8465" max="8466" width="12.7109375" style="86" bestFit="1" customWidth="1"/>
    <col min="8467" max="8471" width="8.85546875" style="86"/>
    <col min="8472" max="8472" width="15.42578125" style="86" bestFit="1" customWidth="1"/>
    <col min="8473" max="8703" width="8.85546875" style="86"/>
    <col min="8704" max="8704" width="3.140625" style="86" customWidth="1"/>
    <col min="8705" max="8705" width="38.85546875" style="86" customWidth="1"/>
    <col min="8706" max="8706" width="15.42578125" style="86" customWidth="1"/>
    <col min="8707" max="8707" width="13.7109375" style="86" customWidth="1"/>
    <col min="8708" max="8708" width="14.28515625" style="86" customWidth="1"/>
    <col min="8709" max="8709" width="11.42578125" style="86" customWidth="1"/>
    <col min="8710" max="8710" width="14.28515625" style="86" customWidth="1"/>
    <col min="8711" max="8711" width="14.7109375" style="86" customWidth="1"/>
    <col min="8712" max="8713" width="14" style="86" bestFit="1" customWidth="1"/>
    <col min="8714" max="8714" width="19.28515625" style="86" customWidth="1"/>
    <col min="8715" max="8715" width="21.5703125" style="86" customWidth="1"/>
    <col min="8716" max="8716" width="20" style="86" bestFit="1" customWidth="1"/>
    <col min="8717" max="8717" width="6.5703125" style="86" customWidth="1"/>
    <col min="8718" max="8718" width="13.28515625" style="86" bestFit="1" customWidth="1"/>
    <col min="8719" max="8719" width="15" style="86" bestFit="1" customWidth="1"/>
    <col min="8720" max="8720" width="15.28515625" style="86" bestFit="1" customWidth="1"/>
    <col min="8721" max="8722" width="12.7109375" style="86" bestFit="1" customWidth="1"/>
    <col min="8723" max="8727" width="8.85546875" style="86"/>
    <col min="8728" max="8728" width="15.42578125" style="86" bestFit="1" customWidth="1"/>
    <col min="8729" max="8959" width="8.85546875" style="86"/>
    <col min="8960" max="8960" width="3.140625" style="86" customWidth="1"/>
    <col min="8961" max="8961" width="38.85546875" style="86" customWidth="1"/>
    <col min="8962" max="8962" width="15.42578125" style="86" customWidth="1"/>
    <col min="8963" max="8963" width="13.7109375" style="86" customWidth="1"/>
    <col min="8964" max="8964" width="14.28515625" style="86" customWidth="1"/>
    <col min="8965" max="8965" width="11.42578125" style="86" customWidth="1"/>
    <col min="8966" max="8966" width="14.28515625" style="86" customWidth="1"/>
    <col min="8967" max="8967" width="14.7109375" style="86" customWidth="1"/>
    <col min="8968" max="8969" width="14" style="86" bestFit="1" customWidth="1"/>
    <col min="8970" max="8970" width="19.28515625" style="86" customWidth="1"/>
    <col min="8971" max="8971" width="21.5703125" style="86" customWidth="1"/>
    <col min="8972" max="8972" width="20" style="86" bestFit="1" customWidth="1"/>
    <col min="8973" max="8973" width="6.5703125" style="86" customWidth="1"/>
    <col min="8974" max="8974" width="13.28515625" style="86" bestFit="1" customWidth="1"/>
    <col min="8975" max="8975" width="15" style="86" bestFit="1" customWidth="1"/>
    <col min="8976" max="8976" width="15.28515625" style="86" bestFit="1" customWidth="1"/>
    <col min="8977" max="8978" width="12.7109375" style="86" bestFit="1" customWidth="1"/>
    <col min="8979" max="8983" width="8.85546875" style="86"/>
    <col min="8984" max="8984" width="15.42578125" style="86" bestFit="1" customWidth="1"/>
    <col min="8985" max="9215" width="8.85546875" style="86"/>
    <col min="9216" max="9216" width="3.140625" style="86" customWidth="1"/>
    <col min="9217" max="9217" width="38.85546875" style="86" customWidth="1"/>
    <col min="9218" max="9218" width="15.42578125" style="86" customWidth="1"/>
    <col min="9219" max="9219" width="13.7109375" style="86" customWidth="1"/>
    <col min="9220" max="9220" width="14.28515625" style="86" customWidth="1"/>
    <col min="9221" max="9221" width="11.42578125" style="86" customWidth="1"/>
    <col min="9222" max="9222" width="14.28515625" style="86" customWidth="1"/>
    <col min="9223" max="9223" width="14.7109375" style="86" customWidth="1"/>
    <col min="9224" max="9225" width="14" style="86" bestFit="1" customWidth="1"/>
    <col min="9226" max="9226" width="19.28515625" style="86" customWidth="1"/>
    <col min="9227" max="9227" width="21.5703125" style="86" customWidth="1"/>
    <col min="9228" max="9228" width="20" style="86" bestFit="1" customWidth="1"/>
    <col min="9229" max="9229" width="6.5703125" style="86" customWidth="1"/>
    <col min="9230" max="9230" width="13.28515625" style="86" bestFit="1" customWidth="1"/>
    <col min="9231" max="9231" width="15" style="86" bestFit="1" customWidth="1"/>
    <col min="9232" max="9232" width="15.28515625" style="86" bestFit="1" customWidth="1"/>
    <col min="9233" max="9234" width="12.7109375" style="86" bestFit="1" customWidth="1"/>
    <col min="9235" max="9239" width="8.85546875" style="86"/>
    <col min="9240" max="9240" width="15.42578125" style="86" bestFit="1" customWidth="1"/>
    <col min="9241" max="9471" width="8.85546875" style="86"/>
    <col min="9472" max="9472" width="3.140625" style="86" customWidth="1"/>
    <col min="9473" max="9473" width="38.85546875" style="86" customWidth="1"/>
    <col min="9474" max="9474" width="15.42578125" style="86" customWidth="1"/>
    <col min="9475" max="9475" width="13.7109375" style="86" customWidth="1"/>
    <col min="9476" max="9476" width="14.28515625" style="86" customWidth="1"/>
    <col min="9477" max="9477" width="11.42578125" style="86" customWidth="1"/>
    <col min="9478" max="9478" width="14.28515625" style="86" customWidth="1"/>
    <col min="9479" max="9479" width="14.7109375" style="86" customWidth="1"/>
    <col min="9480" max="9481" width="14" style="86" bestFit="1" customWidth="1"/>
    <col min="9482" max="9482" width="19.28515625" style="86" customWidth="1"/>
    <col min="9483" max="9483" width="21.5703125" style="86" customWidth="1"/>
    <col min="9484" max="9484" width="20" style="86" bestFit="1" customWidth="1"/>
    <col min="9485" max="9485" width="6.5703125" style="86" customWidth="1"/>
    <col min="9486" max="9486" width="13.28515625" style="86" bestFit="1" customWidth="1"/>
    <col min="9487" max="9487" width="15" style="86" bestFit="1" customWidth="1"/>
    <col min="9488" max="9488" width="15.28515625" style="86" bestFit="1" customWidth="1"/>
    <col min="9489" max="9490" width="12.7109375" style="86" bestFit="1" customWidth="1"/>
    <col min="9491" max="9495" width="8.85546875" style="86"/>
    <col min="9496" max="9496" width="15.42578125" style="86" bestFit="1" customWidth="1"/>
    <col min="9497" max="9727" width="8.85546875" style="86"/>
    <col min="9728" max="9728" width="3.140625" style="86" customWidth="1"/>
    <col min="9729" max="9729" width="38.85546875" style="86" customWidth="1"/>
    <col min="9730" max="9730" width="15.42578125" style="86" customWidth="1"/>
    <col min="9731" max="9731" width="13.7109375" style="86" customWidth="1"/>
    <col min="9732" max="9732" width="14.28515625" style="86" customWidth="1"/>
    <col min="9733" max="9733" width="11.42578125" style="86" customWidth="1"/>
    <col min="9734" max="9734" width="14.28515625" style="86" customWidth="1"/>
    <col min="9735" max="9735" width="14.7109375" style="86" customWidth="1"/>
    <col min="9736" max="9737" width="14" style="86" bestFit="1" customWidth="1"/>
    <col min="9738" max="9738" width="19.28515625" style="86" customWidth="1"/>
    <col min="9739" max="9739" width="21.5703125" style="86" customWidth="1"/>
    <col min="9740" max="9740" width="20" style="86" bestFit="1" customWidth="1"/>
    <col min="9741" max="9741" width="6.5703125" style="86" customWidth="1"/>
    <col min="9742" max="9742" width="13.28515625" style="86" bestFit="1" customWidth="1"/>
    <col min="9743" max="9743" width="15" style="86" bestFit="1" customWidth="1"/>
    <col min="9744" max="9744" width="15.28515625" style="86" bestFit="1" customWidth="1"/>
    <col min="9745" max="9746" width="12.7109375" style="86" bestFit="1" customWidth="1"/>
    <col min="9747" max="9751" width="8.85546875" style="86"/>
    <col min="9752" max="9752" width="15.42578125" style="86" bestFit="1" customWidth="1"/>
    <col min="9753" max="9983" width="8.85546875" style="86"/>
    <col min="9984" max="9984" width="3.140625" style="86" customWidth="1"/>
    <col min="9985" max="9985" width="38.85546875" style="86" customWidth="1"/>
    <col min="9986" max="9986" width="15.42578125" style="86" customWidth="1"/>
    <col min="9987" max="9987" width="13.7109375" style="86" customWidth="1"/>
    <col min="9988" max="9988" width="14.28515625" style="86" customWidth="1"/>
    <col min="9989" max="9989" width="11.42578125" style="86" customWidth="1"/>
    <col min="9990" max="9990" width="14.28515625" style="86" customWidth="1"/>
    <col min="9991" max="9991" width="14.7109375" style="86" customWidth="1"/>
    <col min="9992" max="9993" width="14" style="86" bestFit="1" customWidth="1"/>
    <col min="9994" max="9994" width="19.28515625" style="86" customWidth="1"/>
    <col min="9995" max="9995" width="21.5703125" style="86" customWidth="1"/>
    <col min="9996" max="9996" width="20" style="86" bestFit="1" customWidth="1"/>
    <col min="9997" max="9997" width="6.5703125" style="86" customWidth="1"/>
    <col min="9998" max="9998" width="13.28515625" style="86" bestFit="1" customWidth="1"/>
    <col min="9999" max="9999" width="15" style="86" bestFit="1" customWidth="1"/>
    <col min="10000" max="10000" width="15.28515625" style="86" bestFit="1" customWidth="1"/>
    <col min="10001" max="10002" width="12.7109375" style="86" bestFit="1" customWidth="1"/>
    <col min="10003" max="10007" width="8.85546875" style="86"/>
    <col min="10008" max="10008" width="15.42578125" style="86" bestFit="1" customWidth="1"/>
    <col min="10009" max="10239" width="8.85546875" style="86"/>
    <col min="10240" max="10240" width="3.140625" style="86" customWidth="1"/>
    <col min="10241" max="10241" width="38.85546875" style="86" customWidth="1"/>
    <col min="10242" max="10242" width="15.42578125" style="86" customWidth="1"/>
    <col min="10243" max="10243" width="13.7109375" style="86" customWidth="1"/>
    <col min="10244" max="10244" width="14.28515625" style="86" customWidth="1"/>
    <col min="10245" max="10245" width="11.42578125" style="86" customWidth="1"/>
    <col min="10246" max="10246" width="14.28515625" style="86" customWidth="1"/>
    <col min="10247" max="10247" width="14.7109375" style="86" customWidth="1"/>
    <col min="10248" max="10249" width="14" style="86" bestFit="1" customWidth="1"/>
    <col min="10250" max="10250" width="19.28515625" style="86" customWidth="1"/>
    <col min="10251" max="10251" width="21.5703125" style="86" customWidth="1"/>
    <col min="10252" max="10252" width="20" style="86" bestFit="1" customWidth="1"/>
    <col min="10253" max="10253" width="6.5703125" style="86" customWidth="1"/>
    <col min="10254" max="10254" width="13.28515625" style="86" bestFit="1" customWidth="1"/>
    <col min="10255" max="10255" width="15" style="86" bestFit="1" customWidth="1"/>
    <col min="10256" max="10256" width="15.28515625" style="86" bestFit="1" customWidth="1"/>
    <col min="10257" max="10258" width="12.7109375" style="86" bestFit="1" customWidth="1"/>
    <col min="10259" max="10263" width="8.85546875" style="86"/>
    <col min="10264" max="10264" width="15.42578125" style="86" bestFit="1" customWidth="1"/>
    <col min="10265" max="10495" width="8.85546875" style="86"/>
    <col min="10496" max="10496" width="3.140625" style="86" customWidth="1"/>
    <col min="10497" max="10497" width="38.85546875" style="86" customWidth="1"/>
    <col min="10498" max="10498" width="15.42578125" style="86" customWidth="1"/>
    <col min="10499" max="10499" width="13.7109375" style="86" customWidth="1"/>
    <col min="10500" max="10500" width="14.28515625" style="86" customWidth="1"/>
    <col min="10501" max="10501" width="11.42578125" style="86" customWidth="1"/>
    <col min="10502" max="10502" width="14.28515625" style="86" customWidth="1"/>
    <col min="10503" max="10503" width="14.7109375" style="86" customWidth="1"/>
    <col min="10504" max="10505" width="14" style="86" bestFit="1" customWidth="1"/>
    <col min="10506" max="10506" width="19.28515625" style="86" customWidth="1"/>
    <col min="10507" max="10507" width="21.5703125" style="86" customWidth="1"/>
    <col min="10508" max="10508" width="20" style="86" bestFit="1" customWidth="1"/>
    <col min="10509" max="10509" width="6.5703125" style="86" customWidth="1"/>
    <col min="10510" max="10510" width="13.28515625" style="86" bestFit="1" customWidth="1"/>
    <col min="10511" max="10511" width="15" style="86" bestFit="1" customWidth="1"/>
    <col min="10512" max="10512" width="15.28515625" style="86" bestFit="1" customWidth="1"/>
    <col min="10513" max="10514" width="12.7109375" style="86" bestFit="1" customWidth="1"/>
    <col min="10515" max="10519" width="8.85546875" style="86"/>
    <col min="10520" max="10520" width="15.42578125" style="86" bestFit="1" customWidth="1"/>
    <col min="10521" max="10751" width="8.85546875" style="86"/>
    <col min="10752" max="10752" width="3.140625" style="86" customWidth="1"/>
    <col min="10753" max="10753" width="38.85546875" style="86" customWidth="1"/>
    <col min="10754" max="10754" width="15.42578125" style="86" customWidth="1"/>
    <col min="10755" max="10755" width="13.7109375" style="86" customWidth="1"/>
    <col min="10756" max="10756" width="14.28515625" style="86" customWidth="1"/>
    <col min="10757" max="10757" width="11.42578125" style="86" customWidth="1"/>
    <col min="10758" max="10758" width="14.28515625" style="86" customWidth="1"/>
    <col min="10759" max="10759" width="14.7109375" style="86" customWidth="1"/>
    <col min="10760" max="10761" width="14" style="86" bestFit="1" customWidth="1"/>
    <col min="10762" max="10762" width="19.28515625" style="86" customWidth="1"/>
    <col min="10763" max="10763" width="21.5703125" style="86" customWidth="1"/>
    <col min="10764" max="10764" width="20" style="86" bestFit="1" customWidth="1"/>
    <col min="10765" max="10765" width="6.5703125" style="86" customWidth="1"/>
    <col min="10766" max="10766" width="13.28515625" style="86" bestFit="1" customWidth="1"/>
    <col min="10767" max="10767" width="15" style="86" bestFit="1" customWidth="1"/>
    <col min="10768" max="10768" width="15.28515625" style="86" bestFit="1" customWidth="1"/>
    <col min="10769" max="10770" width="12.7109375" style="86" bestFit="1" customWidth="1"/>
    <col min="10771" max="10775" width="8.85546875" style="86"/>
    <col min="10776" max="10776" width="15.42578125" style="86" bestFit="1" customWidth="1"/>
    <col min="10777" max="11007" width="8.85546875" style="86"/>
    <col min="11008" max="11008" width="3.140625" style="86" customWidth="1"/>
    <col min="11009" max="11009" width="38.85546875" style="86" customWidth="1"/>
    <col min="11010" max="11010" width="15.42578125" style="86" customWidth="1"/>
    <col min="11011" max="11011" width="13.7109375" style="86" customWidth="1"/>
    <col min="11012" max="11012" width="14.28515625" style="86" customWidth="1"/>
    <col min="11013" max="11013" width="11.42578125" style="86" customWidth="1"/>
    <col min="11014" max="11014" width="14.28515625" style="86" customWidth="1"/>
    <col min="11015" max="11015" width="14.7109375" style="86" customWidth="1"/>
    <col min="11016" max="11017" width="14" style="86" bestFit="1" customWidth="1"/>
    <col min="11018" max="11018" width="19.28515625" style="86" customWidth="1"/>
    <col min="11019" max="11019" width="21.5703125" style="86" customWidth="1"/>
    <col min="11020" max="11020" width="20" style="86" bestFit="1" customWidth="1"/>
    <col min="11021" max="11021" width="6.5703125" style="86" customWidth="1"/>
    <col min="11022" max="11022" width="13.28515625" style="86" bestFit="1" customWidth="1"/>
    <col min="11023" max="11023" width="15" style="86" bestFit="1" customWidth="1"/>
    <col min="11024" max="11024" width="15.28515625" style="86" bestFit="1" customWidth="1"/>
    <col min="11025" max="11026" width="12.7109375" style="86" bestFit="1" customWidth="1"/>
    <col min="11027" max="11031" width="8.85546875" style="86"/>
    <col min="11032" max="11032" width="15.42578125" style="86" bestFit="1" customWidth="1"/>
    <col min="11033" max="11263" width="8.85546875" style="86"/>
    <col min="11264" max="11264" width="3.140625" style="86" customWidth="1"/>
    <col min="11265" max="11265" width="38.85546875" style="86" customWidth="1"/>
    <col min="11266" max="11266" width="15.42578125" style="86" customWidth="1"/>
    <col min="11267" max="11267" width="13.7109375" style="86" customWidth="1"/>
    <col min="11268" max="11268" width="14.28515625" style="86" customWidth="1"/>
    <col min="11269" max="11269" width="11.42578125" style="86" customWidth="1"/>
    <col min="11270" max="11270" width="14.28515625" style="86" customWidth="1"/>
    <col min="11271" max="11271" width="14.7109375" style="86" customWidth="1"/>
    <col min="11272" max="11273" width="14" style="86" bestFit="1" customWidth="1"/>
    <col min="11274" max="11274" width="19.28515625" style="86" customWidth="1"/>
    <col min="11275" max="11275" width="21.5703125" style="86" customWidth="1"/>
    <col min="11276" max="11276" width="20" style="86" bestFit="1" customWidth="1"/>
    <col min="11277" max="11277" width="6.5703125" style="86" customWidth="1"/>
    <col min="11278" max="11278" width="13.28515625" style="86" bestFit="1" customWidth="1"/>
    <col min="11279" max="11279" width="15" style="86" bestFit="1" customWidth="1"/>
    <col min="11280" max="11280" width="15.28515625" style="86" bestFit="1" customWidth="1"/>
    <col min="11281" max="11282" width="12.7109375" style="86" bestFit="1" customWidth="1"/>
    <col min="11283" max="11287" width="8.85546875" style="86"/>
    <col min="11288" max="11288" width="15.42578125" style="86" bestFit="1" customWidth="1"/>
    <col min="11289" max="11519" width="8.85546875" style="86"/>
    <col min="11520" max="11520" width="3.140625" style="86" customWidth="1"/>
    <col min="11521" max="11521" width="38.85546875" style="86" customWidth="1"/>
    <col min="11522" max="11522" width="15.42578125" style="86" customWidth="1"/>
    <col min="11523" max="11523" width="13.7109375" style="86" customWidth="1"/>
    <col min="11524" max="11524" width="14.28515625" style="86" customWidth="1"/>
    <col min="11525" max="11525" width="11.42578125" style="86" customWidth="1"/>
    <col min="11526" max="11526" width="14.28515625" style="86" customWidth="1"/>
    <col min="11527" max="11527" width="14.7109375" style="86" customWidth="1"/>
    <col min="11528" max="11529" width="14" style="86" bestFit="1" customWidth="1"/>
    <col min="11530" max="11530" width="19.28515625" style="86" customWidth="1"/>
    <col min="11531" max="11531" width="21.5703125" style="86" customWidth="1"/>
    <col min="11532" max="11532" width="20" style="86" bestFit="1" customWidth="1"/>
    <col min="11533" max="11533" width="6.5703125" style="86" customWidth="1"/>
    <col min="11534" max="11534" width="13.28515625" style="86" bestFit="1" customWidth="1"/>
    <col min="11535" max="11535" width="15" style="86" bestFit="1" customWidth="1"/>
    <col min="11536" max="11536" width="15.28515625" style="86" bestFit="1" customWidth="1"/>
    <col min="11537" max="11538" width="12.7109375" style="86" bestFit="1" customWidth="1"/>
    <col min="11539" max="11543" width="8.85546875" style="86"/>
    <col min="11544" max="11544" width="15.42578125" style="86" bestFit="1" customWidth="1"/>
    <col min="11545" max="11775" width="8.85546875" style="86"/>
    <col min="11776" max="11776" width="3.140625" style="86" customWidth="1"/>
    <col min="11777" max="11777" width="38.85546875" style="86" customWidth="1"/>
    <col min="11778" max="11778" width="15.42578125" style="86" customWidth="1"/>
    <col min="11779" max="11779" width="13.7109375" style="86" customWidth="1"/>
    <col min="11780" max="11780" width="14.28515625" style="86" customWidth="1"/>
    <col min="11781" max="11781" width="11.42578125" style="86" customWidth="1"/>
    <col min="11782" max="11782" width="14.28515625" style="86" customWidth="1"/>
    <col min="11783" max="11783" width="14.7109375" style="86" customWidth="1"/>
    <col min="11784" max="11785" width="14" style="86" bestFit="1" customWidth="1"/>
    <col min="11786" max="11786" width="19.28515625" style="86" customWidth="1"/>
    <col min="11787" max="11787" width="21.5703125" style="86" customWidth="1"/>
    <col min="11788" max="11788" width="20" style="86" bestFit="1" customWidth="1"/>
    <col min="11789" max="11789" width="6.5703125" style="86" customWidth="1"/>
    <col min="11790" max="11790" width="13.28515625" style="86" bestFit="1" customWidth="1"/>
    <col min="11791" max="11791" width="15" style="86" bestFit="1" customWidth="1"/>
    <col min="11792" max="11792" width="15.28515625" style="86" bestFit="1" customWidth="1"/>
    <col min="11793" max="11794" width="12.7109375" style="86" bestFit="1" customWidth="1"/>
    <col min="11795" max="11799" width="8.85546875" style="86"/>
    <col min="11800" max="11800" width="15.42578125" style="86" bestFit="1" customWidth="1"/>
    <col min="11801" max="12031" width="8.85546875" style="86"/>
    <col min="12032" max="12032" width="3.140625" style="86" customWidth="1"/>
    <col min="12033" max="12033" width="38.85546875" style="86" customWidth="1"/>
    <col min="12034" max="12034" width="15.42578125" style="86" customWidth="1"/>
    <col min="12035" max="12035" width="13.7109375" style="86" customWidth="1"/>
    <col min="12036" max="12036" width="14.28515625" style="86" customWidth="1"/>
    <col min="12037" max="12037" width="11.42578125" style="86" customWidth="1"/>
    <col min="12038" max="12038" width="14.28515625" style="86" customWidth="1"/>
    <col min="12039" max="12039" width="14.7109375" style="86" customWidth="1"/>
    <col min="12040" max="12041" width="14" style="86" bestFit="1" customWidth="1"/>
    <col min="12042" max="12042" width="19.28515625" style="86" customWidth="1"/>
    <col min="12043" max="12043" width="21.5703125" style="86" customWidth="1"/>
    <col min="12044" max="12044" width="20" style="86" bestFit="1" customWidth="1"/>
    <col min="12045" max="12045" width="6.5703125" style="86" customWidth="1"/>
    <col min="12046" max="12046" width="13.28515625" style="86" bestFit="1" customWidth="1"/>
    <col min="12047" max="12047" width="15" style="86" bestFit="1" customWidth="1"/>
    <col min="12048" max="12048" width="15.28515625" style="86" bestFit="1" customWidth="1"/>
    <col min="12049" max="12050" width="12.7109375" style="86" bestFit="1" customWidth="1"/>
    <col min="12051" max="12055" width="8.85546875" style="86"/>
    <col min="12056" max="12056" width="15.42578125" style="86" bestFit="1" customWidth="1"/>
    <col min="12057" max="12287" width="8.85546875" style="86"/>
    <col min="12288" max="12288" width="3.140625" style="86" customWidth="1"/>
    <col min="12289" max="12289" width="38.85546875" style="86" customWidth="1"/>
    <col min="12290" max="12290" width="15.42578125" style="86" customWidth="1"/>
    <col min="12291" max="12291" width="13.7109375" style="86" customWidth="1"/>
    <col min="12292" max="12292" width="14.28515625" style="86" customWidth="1"/>
    <col min="12293" max="12293" width="11.42578125" style="86" customWidth="1"/>
    <col min="12294" max="12294" width="14.28515625" style="86" customWidth="1"/>
    <col min="12295" max="12295" width="14.7109375" style="86" customWidth="1"/>
    <col min="12296" max="12297" width="14" style="86" bestFit="1" customWidth="1"/>
    <col min="12298" max="12298" width="19.28515625" style="86" customWidth="1"/>
    <col min="12299" max="12299" width="21.5703125" style="86" customWidth="1"/>
    <col min="12300" max="12300" width="20" style="86" bestFit="1" customWidth="1"/>
    <col min="12301" max="12301" width="6.5703125" style="86" customWidth="1"/>
    <col min="12302" max="12302" width="13.28515625" style="86" bestFit="1" customWidth="1"/>
    <col min="12303" max="12303" width="15" style="86" bestFit="1" customWidth="1"/>
    <col min="12304" max="12304" width="15.28515625" style="86" bestFit="1" customWidth="1"/>
    <col min="12305" max="12306" width="12.7109375" style="86" bestFit="1" customWidth="1"/>
    <col min="12307" max="12311" width="8.85546875" style="86"/>
    <col min="12312" max="12312" width="15.42578125" style="86" bestFit="1" customWidth="1"/>
    <col min="12313" max="12543" width="8.85546875" style="86"/>
    <col min="12544" max="12544" width="3.140625" style="86" customWidth="1"/>
    <col min="12545" max="12545" width="38.85546875" style="86" customWidth="1"/>
    <col min="12546" max="12546" width="15.42578125" style="86" customWidth="1"/>
    <col min="12547" max="12547" width="13.7109375" style="86" customWidth="1"/>
    <col min="12548" max="12548" width="14.28515625" style="86" customWidth="1"/>
    <col min="12549" max="12549" width="11.42578125" style="86" customWidth="1"/>
    <col min="12550" max="12550" width="14.28515625" style="86" customWidth="1"/>
    <col min="12551" max="12551" width="14.7109375" style="86" customWidth="1"/>
    <col min="12552" max="12553" width="14" style="86" bestFit="1" customWidth="1"/>
    <col min="12554" max="12554" width="19.28515625" style="86" customWidth="1"/>
    <col min="12555" max="12555" width="21.5703125" style="86" customWidth="1"/>
    <col min="12556" max="12556" width="20" style="86" bestFit="1" customWidth="1"/>
    <col min="12557" max="12557" width="6.5703125" style="86" customWidth="1"/>
    <col min="12558" max="12558" width="13.28515625" style="86" bestFit="1" customWidth="1"/>
    <col min="12559" max="12559" width="15" style="86" bestFit="1" customWidth="1"/>
    <col min="12560" max="12560" width="15.28515625" style="86" bestFit="1" customWidth="1"/>
    <col min="12561" max="12562" width="12.7109375" style="86" bestFit="1" customWidth="1"/>
    <col min="12563" max="12567" width="8.85546875" style="86"/>
    <col min="12568" max="12568" width="15.42578125" style="86" bestFit="1" customWidth="1"/>
    <col min="12569" max="12799" width="8.85546875" style="86"/>
    <col min="12800" max="12800" width="3.140625" style="86" customWidth="1"/>
    <col min="12801" max="12801" width="38.85546875" style="86" customWidth="1"/>
    <col min="12802" max="12802" width="15.42578125" style="86" customWidth="1"/>
    <col min="12803" max="12803" width="13.7109375" style="86" customWidth="1"/>
    <col min="12804" max="12804" width="14.28515625" style="86" customWidth="1"/>
    <col min="12805" max="12805" width="11.42578125" style="86" customWidth="1"/>
    <col min="12806" max="12806" width="14.28515625" style="86" customWidth="1"/>
    <col min="12807" max="12807" width="14.7109375" style="86" customWidth="1"/>
    <col min="12808" max="12809" width="14" style="86" bestFit="1" customWidth="1"/>
    <col min="12810" max="12810" width="19.28515625" style="86" customWidth="1"/>
    <col min="12811" max="12811" width="21.5703125" style="86" customWidth="1"/>
    <col min="12812" max="12812" width="20" style="86" bestFit="1" customWidth="1"/>
    <col min="12813" max="12813" width="6.5703125" style="86" customWidth="1"/>
    <col min="12814" max="12814" width="13.28515625" style="86" bestFit="1" customWidth="1"/>
    <col min="12815" max="12815" width="15" style="86" bestFit="1" customWidth="1"/>
    <col min="12816" max="12816" width="15.28515625" style="86" bestFit="1" customWidth="1"/>
    <col min="12817" max="12818" width="12.7109375" style="86" bestFit="1" customWidth="1"/>
    <col min="12819" max="12823" width="8.85546875" style="86"/>
    <col min="12824" max="12824" width="15.42578125" style="86" bestFit="1" customWidth="1"/>
    <col min="12825" max="13055" width="8.85546875" style="86"/>
    <col min="13056" max="13056" width="3.140625" style="86" customWidth="1"/>
    <col min="13057" max="13057" width="38.85546875" style="86" customWidth="1"/>
    <col min="13058" max="13058" width="15.42578125" style="86" customWidth="1"/>
    <col min="13059" max="13059" width="13.7109375" style="86" customWidth="1"/>
    <col min="13060" max="13060" width="14.28515625" style="86" customWidth="1"/>
    <col min="13061" max="13061" width="11.42578125" style="86" customWidth="1"/>
    <col min="13062" max="13062" width="14.28515625" style="86" customWidth="1"/>
    <col min="13063" max="13063" width="14.7109375" style="86" customWidth="1"/>
    <col min="13064" max="13065" width="14" style="86" bestFit="1" customWidth="1"/>
    <col min="13066" max="13066" width="19.28515625" style="86" customWidth="1"/>
    <col min="13067" max="13067" width="21.5703125" style="86" customWidth="1"/>
    <col min="13068" max="13068" width="20" style="86" bestFit="1" customWidth="1"/>
    <col min="13069" max="13069" width="6.5703125" style="86" customWidth="1"/>
    <col min="13070" max="13070" width="13.28515625" style="86" bestFit="1" customWidth="1"/>
    <col min="13071" max="13071" width="15" style="86" bestFit="1" customWidth="1"/>
    <col min="13072" max="13072" width="15.28515625" style="86" bestFit="1" customWidth="1"/>
    <col min="13073" max="13074" width="12.7109375" style="86" bestFit="1" customWidth="1"/>
    <col min="13075" max="13079" width="8.85546875" style="86"/>
    <col min="13080" max="13080" width="15.42578125" style="86" bestFit="1" customWidth="1"/>
    <col min="13081" max="13311" width="8.85546875" style="86"/>
    <col min="13312" max="13312" width="3.140625" style="86" customWidth="1"/>
    <col min="13313" max="13313" width="38.85546875" style="86" customWidth="1"/>
    <col min="13314" max="13314" width="15.42578125" style="86" customWidth="1"/>
    <col min="13315" max="13315" width="13.7109375" style="86" customWidth="1"/>
    <col min="13316" max="13316" width="14.28515625" style="86" customWidth="1"/>
    <col min="13317" max="13317" width="11.42578125" style="86" customWidth="1"/>
    <col min="13318" max="13318" width="14.28515625" style="86" customWidth="1"/>
    <col min="13319" max="13319" width="14.7109375" style="86" customWidth="1"/>
    <col min="13320" max="13321" width="14" style="86" bestFit="1" customWidth="1"/>
    <col min="13322" max="13322" width="19.28515625" style="86" customWidth="1"/>
    <col min="13323" max="13323" width="21.5703125" style="86" customWidth="1"/>
    <col min="13324" max="13324" width="20" style="86" bestFit="1" customWidth="1"/>
    <col min="13325" max="13325" width="6.5703125" style="86" customWidth="1"/>
    <col min="13326" max="13326" width="13.28515625" style="86" bestFit="1" customWidth="1"/>
    <col min="13327" max="13327" width="15" style="86" bestFit="1" customWidth="1"/>
    <col min="13328" max="13328" width="15.28515625" style="86" bestFit="1" customWidth="1"/>
    <col min="13329" max="13330" width="12.7109375" style="86" bestFit="1" customWidth="1"/>
    <col min="13331" max="13335" width="8.85546875" style="86"/>
    <col min="13336" max="13336" width="15.42578125" style="86" bestFit="1" customWidth="1"/>
    <col min="13337" max="13567" width="8.85546875" style="86"/>
    <col min="13568" max="13568" width="3.140625" style="86" customWidth="1"/>
    <col min="13569" max="13569" width="38.85546875" style="86" customWidth="1"/>
    <col min="13570" max="13570" width="15.42578125" style="86" customWidth="1"/>
    <col min="13571" max="13571" width="13.7109375" style="86" customWidth="1"/>
    <col min="13572" max="13572" width="14.28515625" style="86" customWidth="1"/>
    <col min="13573" max="13573" width="11.42578125" style="86" customWidth="1"/>
    <col min="13574" max="13574" width="14.28515625" style="86" customWidth="1"/>
    <col min="13575" max="13575" width="14.7109375" style="86" customWidth="1"/>
    <col min="13576" max="13577" width="14" style="86" bestFit="1" customWidth="1"/>
    <col min="13578" max="13578" width="19.28515625" style="86" customWidth="1"/>
    <col min="13579" max="13579" width="21.5703125" style="86" customWidth="1"/>
    <col min="13580" max="13580" width="20" style="86" bestFit="1" customWidth="1"/>
    <col min="13581" max="13581" width="6.5703125" style="86" customWidth="1"/>
    <col min="13582" max="13582" width="13.28515625" style="86" bestFit="1" customWidth="1"/>
    <col min="13583" max="13583" width="15" style="86" bestFit="1" customWidth="1"/>
    <col min="13584" max="13584" width="15.28515625" style="86" bestFit="1" customWidth="1"/>
    <col min="13585" max="13586" width="12.7109375" style="86" bestFit="1" customWidth="1"/>
    <col min="13587" max="13591" width="8.85546875" style="86"/>
    <col min="13592" max="13592" width="15.42578125" style="86" bestFit="1" customWidth="1"/>
    <col min="13593" max="13823" width="8.85546875" style="86"/>
    <col min="13824" max="13824" width="3.140625" style="86" customWidth="1"/>
    <col min="13825" max="13825" width="38.85546875" style="86" customWidth="1"/>
    <col min="13826" max="13826" width="15.42578125" style="86" customWidth="1"/>
    <col min="13827" max="13827" width="13.7109375" style="86" customWidth="1"/>
    <col min="13828" max="13828" width="14.28515625" style="86" customWidth="1"/>
    <col min="13829" max="13829" width="11.42578125" style="86" customWidth="1"/>
    <col min="13830" max="13830" width="14.28515625" style="86" customWidth="1"/>
    <col min="13831" max="13831" width="14.7109375" style="86" customWidth="1"/>
    <col min="13832" max="13833" width="14" style="86" bestFit="1" customWidth="1"/>
    <col min="13834" max="13834" width="19.28515625" style="86" customWidth="1"/>
    <col min="13835" max="13835" width="21.5703125" style="86" customWidth="1"/>
    <col min="13836" max="13836" width="20" style="86" bestFit="1" customWidth="1"/>
    <col min="13837" max="13837" width="6.5703125" style="86" customWidth="1"/>
    <col min="13838" max="13838" width="13.28515625" style="86" bestFit="1" customWidth="1"/>
    <col min="13839" max="13839" width="15" style="86" bestFit="1" customWidth="1"/>
    <col min="13840" max="13840" width="15.28515625" style="86" bestFit="1" customWidth="1"/>
    <col min="13841" max="13842" width="12.7109375" style="86" bestFit="1" customWidth="1"/>
    <col min="13843" max="13847" width="8.85546875" style="86"/>
    <col min="13848" max="13848" width="15.42578125" style="86" bestFit="1" customWidth="1"/>
    <col min="13849" max="14079" width="8.85546875" style="86"/>
    <col min="14080" max="14080" width="3.140625" style="86" customWidth="1"/>
    <col min="14081" max="14081" width="38.85546875" style="86" customWidth="1"/>
    <col min="14082" max="14082" width="15.42578125" style="86" customWidth="1"/>
    <col min="14083" max="14083" width="13.7109375" style="86" customWidth="1"/>
    <col min="14084" max="14084" width="14.28515625" style="86" customWidth="1"/>
    <col min="14085" max="14085" width="11.42578125" style="86" customWidth="1"/>
    <col min="14086" max="14086" width="14.28515625" style="86" customWidth="1"/>
    <col min="14087" max="14087" width="14.7109375" style="86" customWidth="1"/>
    <col min="14088" max="14089" width="14" style="86" bestFit="1" customWidth="1"/>
    <col min="14090" max="14090" width="19.28515625" style="86" customWidth="1"/>
    <col min="14091" max="14091" width="21.5703125" style="86" customWidth="1"/>
    <col min="14092" max="14092" width="20" style="86" bestFit="1" customWidth="1"/>
    <col min="14093" max="14093" width="6.5703125" style="86" customWidth="1"/>
    <col min="14094" max="14094" width="13.28515625" style="86" bestFit="1" customWidth="1"/>
    <col min="14095" max="14095" width="15" style="86" bestFit="1" customWidth="1"/>
    <col min="14096" max="14096" width="15.28515625" style="86" bestFit="1" customWidth="1"/>
    <col min="14097" max="14098" width="12.7109375" style="86" bestFit="1" customWidth="1"/>
    <col min="14099" max="14103" width="8.85546875" style="86"/>
    <col min="14104" max="14104" width="15.42578125" style="86" bestFit="1" customWidth="1"/>
    <col min="14105" max="14335" width="8.85546875" style="86"/>
    <col min="14336" max="14336" width="3.140625" style="86" customWidth="1"/>
    <col min="14337" max="14337" width="38.85546875" style="86" customWidth="1"/>
    <col min="14338" max="14338" width="15.42578125" style="86" customWidth="1"/>
    <col min="14339" max="14339" width="13.7109375" style="86" customWidth="1"/>
    <col min="14340" max="14340" width="14.28515625" style="86" customWidth="1"/>
    <col min="14341" max="14341" width="11.42578125" style="86" customWidth="1"/>
    <col min="14342" max="14342" width="14.28515625" style="86" customWidth="1"/>
    <col min="14343" max="14343" width="14.7109375" style="86" customWidth="1"/>
    <col min="14344" max="14345" width="14" style="86" bestFit="1" customWidth="1"/>
    <col min="14346" max="14346" width="19.28515625" style="86" customWidth="1"/>
    <col min="14347" max="14347" width="21.5703125" style="86" customWidth="1"/>
    <col min="14348" max="14348" width="20" style="86" bestFit="1" customWidth="1"/>
    <col min="14349" max="14349" width="6.5703125" style="86" customWidth="1"/>
    <col min="14350" max="14350" width="13.28515625" style="86" bestFit="1" customWidth="1"/>
    <col min="14351" max="14351" width="15" style="86" bestFit="1" customWidth="1"/>
    <col min="14352" max="14352" width="15.28515625" style="86" bestFit="1" customWidth="1"/>
    <col min="14353" max="14354" width="12.7109375" style="86" bestFit="1" customWidth="1"/>
    <col min="14355" max="14359" width="8.85546875" style="86"/>
    <col min="14360" max="14360" width="15.42578125" style="86" bestFit="1" customWidth="1"/>
    <col min="14361" max="14591" width="8.85546875" style="86"/>
    <col min="14592" max="14592" width="3.140625" style="86" customWidth="1"/>
    <col min="14593" max="14593" width="38.85546875" style="86" customWidth="1"/>
    <col min="14594" max="14594" width="15.42578125" style="86" customWidth="1"/>
    <col min="14595" max="14595" width="13.7109375" style="86" customWidth="1"/>
    <col min="14596" max="14596" width="14.28515625" style="86" customWidth="1"/>
    <col min="14597" max="14597" width="11.42578125" style="86" customWidth="1"/>
    <col min="14598" max="14598" width="14.28515625" style="86" customWidth="1"/>
    <col min="14599" max="14599" width="14.7109375" style="86" customWidth="1"/>
    <col min="14600" max="14601" width="14" style="86" bestFit="1" customWidth="1"/>
    <col min="14602" max="14602" width="19.28515625" style="86" customWidth="1"/>
    <col min="14603" max="14603" width="21.5703125" style="86" customWidth="1"/>
    <col min="14604" max="14604" width="20" style="86" bestFit="1" customWidth="1"/>
    <col min="14605" max="14605" width="6.5703125" style="86" customWidth="1"/>
    <col min="14606" max="14606" width="13.28515625" style="86" bestFit="1" customWidth="1"/>
    <col min="14607" max="14607" width="15" style="86" bestFit="1" customWidth="1"/>
    <col min="14608" max="14608" width="15.28515625" style="86" bestFit="1" customWidth="1"/>
    <col min="14609" max="14610" width="12.7109375" style="86" bestFit="1" customWidth="1"/>
    <col min="14611" max="14615" width="8.85546875" style="86"/>
    <col min="14616" max="14616" width="15.42578125" style="86" bestFit="1" customWidth="1"/>
    <col min="14617" max="14847" width="8.85546875" style="86"/>
    <col min="14848" max="14848" width="3.140625" style="86" customWidth="1"/>
    <col min="14849" max="14849" width="38.85546875" style="86" customWidth="1"/>
    <col min="14850" max="14850" width="15.42578125" style="86" customWidth="1"/>
    <col min="14851" max="14851" width="13.7109375" style="86" customWidth="1"/>
    <col min="14852" max="14852" width="14.28515625" style="86" customWidth="1"/>
    <col min="14853" max="14853" width="11.42578125" style="86" customWidth="1"/>
    <col min="14854" max="14854" width="14.28515625" style="86" customWidth="1"/>
    <col min="14855" max="14855" width="14.7109375" style="86" customWidth="1"/>
    <col min="14856" max="14857" width="14" style="86" bestFit="1" customWidth="1"/>
    <col min="14858" max="14858" width="19.28515625" style="86" customWidth="1"/>
    <col min="14859" max="14859" width="21.5703125" style="86" customWidth="1"/>
    <col min="14860" max="14860" width="20" style="86" bestFit="1" customWidth="1"/>
    <col min="14861" max="14861" width="6.5703125" style="86" customWidth="1"/>
    <col min="14862" max="14862" width="13.28515625" style="86" bestFit="1" customWidth="1"/>
    <col min="14863" max="14863" width="15" style="86" bestFit="1" customWidth="1"/>
    <col min="14864" max="14864" width="15.28515625" style="86" bestFit="1" customWidth="1"/>
    <col min="14865" max="14866" width="12.7109375" style="86" bestFit="1" customWidth="1"/>
    <col min="14867" max="14871" width="8.85546875" style="86"/>
    <col min="14872" max="14872" width="15.42578125" style="86" bestFit="1" customWidth="1"/>
    <col min="14873" max="15103" width="8.85546875" style="86"/>
    <col min="15104" max="15104" width="3.140625" style="86" customWidth="1"/>
    <col min="15105" max="15105" width="38.85546875" style="86" customWidth="1"/>
    <col min="15106" max="15106" width="15.42578125" style="86" customWidth="1"/>
    <col min="15107" max="15107" width="13.7109375" style="86" customWidth="1"/>
    <col min="15108" max="15108" width="14.28515625" style="86" customWidth="1"/>
    <col min="15109" max="15109" width="11.42578125" style="86" customWidth="1"/>
    <col min="15110" max="15110" width="14.28515625" style="86" customWidth="1"/>
    <col min="15111" max="15111" width="14.7109375" style="86" customWidth="1"/>
    <col min="15112" max="15113" width="14" style="86" bestFit="1" customWidth="1"/>
    <col min="15114" max="15114" width="19.28515625" style="86" customWidth="1"/>
    <col min="15115" max="15115" width="21.5703125" style="86" customWidth="1"/>
    <col min="15116" max="15116" width="20" style="86" bestFit="1" customWidth="1"/>
    <col min="15117" max="15117" width="6.5703125" style="86" customWidth="1"/>
    <col min="15118" max="15118" width="13.28515625" style="86" bestFit="1" customWidth="1"/>
    <col min="15119" max="15119" width="15" style="86" bestFit="1" customWidth="1"/>
    <col min="15120" max="15120" width="15.28515625" style="86" bestFit="1" customWidth="1"/>
    <col min="15121" max="15122" width="12.7109375" style="86" bestFit="1" customWidth="1"/>
    <col min="15123" max="15127" width="8.85546875" style="86"/>
    <col min="15128" max="15128" width="15.42578125" style="86" bestFit="1" customWidth="1"/>
    <col min="15129" max="15359" width="8.85546875" style="86"/>
    <col min="15360" max="15360" width="3.140625" style="86" customWidth="1"/>
    <col min="15361" max="15361" width="38.85546875" style="86" customWidth="1"/>
    <col min="15362" max="15362" width="15.42578125" style="86" customWidth="1"/>
    <col min="15363" max="15363" width="13.7109375" style="86" customWidth="1"/>
    <col min="15364" max="15364" width="14.28515625" style="86" customWidth="1"/>
    <col min="15365" max="15365" width="11.42578125" style="86" customWidth="1"/>
    <col min="15366" max="15366" width="14.28515625" style="86" customWidth="1"/>
    <col min="15367" max="15367" width="14.7109375" style="86" customWidth="1"/>
    <col min="15368" max="15369" width="14" style="86" bestFit="1" customWidth="1"/>
    <col min="15370" max="15370" width="19.28515625" style="86" customWidth="1"/>
    <col min="15371" max="15371" width="21.5703125" style="86" customWidth="1"/>
    <col min="15372" max="15372" width="20" style="86" bestFit="1" customWidth="1"/>
    <col min="15373" max="15373" width="6.5703125" style="86" customWidth="1"/>
    <col min="15374" max="15374" width="13.28515625" style="86" bestFit="1" customWidth="1"/>
    <col min="15375" max="15375" width="15" style="86" bestFit="1" customWidth="1"/>
    <col min="15376" max="15376" width="15.28515625" style="86" bestFit="1" customWidth="1"/>
    <col min="15377" max="15378" width="12.7109375" style="86" bestFit="1" customWidth="1"/>
    <col min="15379" max="15383" width="8.85546875" style="86"/>
    <col min="15384" max="15384" width="15.42578125" style="86" bestFit="1" customWidth="1"/>
    <col min="15385" max="15615" width="8.85546875" style="86"/>
    <col min="15616" max="15616" width="3.140625" style="86" customWidth="1"/>
    <col min="15617" max="15617" width="38.85546875" style="86" customWidth="1"/>
    <col min="15618" max="15618" width="15.42578125" style="86" customWidth="1"/>
    <col min="15619" max="15619" width="13.7109375" style="86" customWidth="1"/>
    <col min="15620" max="15620" width="14.28515625" style="86" customWidth="1"/>
    <col min="15621" max="15621" width="11.42578125" style="86" customWidth="1"/>
    <col min="15622" max="15622" width="14.28515625" style="86" customWidth="1"/>
    <col min="15623" max="15623" width="14.7109375" style="86" customWidth="1"/>
    <col min="15624" max="15625" width="14" style="86" bestFit="1" customWidth="1"/>
    <col min="15626" max="15626" width="19.28515625" style="86" customWidth="1"/>
    <col min="15627" max="15627" width="21.5703125" style="86" customWidth="1"/>
    <col min="15628" max="15628" width="20" style="86" bestFit="1" customWidth="1"/>
    <col min="15629" max="15629" width="6.5703125" style="86" customWidth="1"/>
    <col min="15630" max="15630" width="13.28515625" style="86" bestFit="1" customWidth="1"/>
    <col min="15631" max="15631" width="15" style="86" bestFit="1" customWidth="1"/>
    <col min="15632" max="15632" width="15.28515625" style="86" bestFit="1" customWidth="1"/>
    <col min="15633" max="15634" width="12.7109375" style="86" bestFit="1" customWidth="1"/>
    <col min="15635" max="15639" width="8.85546875" style="86"/>
    <col min="15640" max="15640" width="15.42578125" style="86" bestFit="1" customWidth="1"/>
    <col min="15641" max="15871" width="8.85546875" style="86"/>
    <col min="15872" max="15872" width="3.140625" style="86" customWidth="1"/>
    <col min="15873" max="15873" width="38.85546875" style="86" customWidth="1"/>
    <col min="15874" max="15874" width="15.42578125" style="86" customWidth="1"/>
    <col min="15875" max="15875" width="13.7109375" style="86" customWidth="1"/>
    <col min="15876" max="15876" width="14.28515625" style="86" customWidth="1"/>
    <col min="15877" max="15877" width="11.42578125" style="86" customWidth="1"/>
    <col min="15878" max="15878" width="14.28515625" style="86" customWidth="1"/>
    <col min="15879" max="15879" width="14.7109375" style="86" customWidth="1"/>
    <col min="15880" max="15881" width="14" style="86" bestFit="1" customWidth="1"/>
    <col min="15882" max="15882" width="19.28515625" style="86" customWidth="1"/>
    <col min="15883" max="15883" width="21.5703125" style="86" customWidth="1"/>
    <col min="15884" max="15884" width="20" style="86" bestFit="1" customWidth="1"/>
    <col min="15885" max="15885" width="6.5703125" style="86" customWidth="1"/>
    <col min="15886" max="15886" width="13.28515625" style="86" bestFit="1" customWidth="1"/>
    <col min="15887" max="15887" width="15" style="86" bestFit="1" customWidth="1"/>
    <col min="15888" max="15888" width="15.28515625" style="86" bestFit="1" customWidth="1"/>
    <col min="15889" max="15890" width="12.7109375" style="86" bestFit="1" customWidth="1"/>
    <col min="15891" max="15895" width="8.85546875" style="86"/>
    <col min="15896" max="15896" width="15.42578125" style="86" bestFit="1" customWidth="1"/>
    <col min="15897" max="16127" width="8.85546875" style="86"/>
    <col min="16128" max="16128" width="3.140625" style="86" customWidth="1"/>
    <col min="16129" max="16129" width="38.85546875" style="86" customWidth="1"/>
    <col min="16130" max="16130" width="15.42578125" style="86" customWidth="1"/>
    <col min="16131" max="16131" width="13.7109375" style="86" customWidth="1"/>
    <col min="16132" max="16132" width="14.28515625" style="86" customWidth="1"/>
    <col min="16133" max="16133" width="11.42578125" style="86" customWidth="1"/>
    <col min="16134" max="16134" width="14.28515625" style="86" customWidth="1"/>
    <col min="16135" max="16135" width="14.7109375" style="86" customWidth="1"/>
    <col min="16136" max="16137" width="14" style="86" bestFit="1" customWidth="1"/>
    <col min="16138" max="16138" width="19.28515625" style="86" customWidth="1"/>
    <col min="16139" max="16139" width="21.5703125" style="86" customWidth="1"/>
    <col min="16140" max="16140" width="20" style="86" bestFit="1" customWidth="1"/>
    <col min="16141" max="16141" width="6.5703125" style="86" customWidth="1"/>
    <col min="16142" max="16142" width="13.28515625" style="86" bestFit="1" customWidth="1"/>
    <col min="16143" max="16143" width="15" style="86" bestFit="1" customWidth="1"/>
    <col min="16144" max="16144" width="15.28515625" style="86" bestFit="1" customWidth="1"/>
    <col min="16145" max="16146" width="12.7109375" style="86" bestFit="1" customWidth="1"/>
    <col min="16147" max="16151" width="8.85546875" style="86"/>
    <col min="16152" max="16152" width="15.42578125" style="86" bestFit="1" customWidth="1"/>
    <col min="16153" max="16384" width="8.85546875" style="86"/>
  </cols>
  <sheetData>
    <row r="1" spans="1:27" ht="30" customHeight="1" x14ac:dyDescent="0.3">
      <c r="A1" s="85" t="s">
        <v>159</v>
      </c>
    </row>
    <row r="2" spans="1:27" x14ac:dyDescent="0.25">
      <c r="B2" s="87"/>
      <c r="H2" s="88"/>
      <c r="I2" s="88"/>
      <c r="J2" s="88"/>
    </row>
    <row r="3" spans="1:27" x14ac:dyDescent="0.25">
      <c r="B3" s="90" t="s">
        <v>160</v>
      </c>
      <c r="C3" s="90"/>
      <c r="D3" s="91"/>
      <c r="E3" s="90"/>
      <c r="F3" s="90"/>
      <c r="G3" s="92" t="s">
        <v>31</v>
      </c>
      <c r="H3" s="93" t="s">
        <v>71</v>
      </c>
    </row>
    <row r="4" spans="1:27" x14ac:dyDescent="0.25">
      <c r="B4" s="94"/>
      <c r="C4" s="94"/>
      <c r="D4" s="94"/>
      <c r="E4" s="95"/>
      <c r="F4" s="96"/>
      <c r="G4" s="108"/>
      <c r="H4" s="97"/>
    </row>
    <row r="5" spans="1:27" x14ac:dyDescent="0.25">
      <c r="B5" s="98" t="s">
        <v>156</v>
      </c>
      <c r="C5" s="99">
        <f>44/28</f>
        <v>1.5714285714285714</v>
      </c>
      <c r="D5" s="94"/>
      <c r="E5" s="95"/>
      <c r="F5" s="96"/>
      <c r="G5" s="108"/>
      <c r="H5" s="97"/>
    </row>
    <row r="6" spans="1:27" x14ac:dyDescent="0.25">
      <c r="B6" s="283"/>
      <c r="C6" s="284"/>
      <c r="D6" s="101"/>
      <c r="E6" s="285"/>
      <c r="F6" s="101"/>
      <c r="G6" s="286"/>
      <c r="H6" s="97"/>
    </row>
    <row r="7" spans="1:27" x14ac:dyDescent="0.25">
      <c r="B7" s="102"/>
      <c r="C7" s="102"/>
      <c r="D7" s="102"/>
      <c r="E7" s="281"/>
      <c r="F7" s="102"/>
      <c r="G7" s="282"/>
      <c r="H7" s="100"/>
      <c r="L7" s="88"/>
      <c r="M7" s="88"/>
      <c r="N7" s="88"/>
      <c r="O7" s="88"/>
      <c r="P7" s="88"/>
      <c r="Q7" s="88"/>
      <c r="R7" s="88"/>
      <c r="S7" s="88"/>
      <c r="T7" s="88"/>
      <c r="U7" s="88"/>
    </row>
    <row r="8" spans="1:27" x14ac:dyDescent="0.25">
      <c r="B8" s="94"/>
      <c r="C8" s="94"/>
      <c r="D8" s="94"/>
      <c r="E8" s="94"/>
      <c r="F8" s="94"/>
      <c r="G8" s="103"/>
      <c r="H8" s="97"/>
      <c r="S8" s="88"/>
      <c r="T8" s="88"/>
      <c r="U8" s="88"/>
    </row>
    <row r="9" spans="1:27" x14ac:dyDescent="0.25">
      <c r="B9" s="98" t="s">
        <v>275</v>
      </c>
      <c r="C9" s="94"/>
      <c r="D9" s="98" t="s">
        <v>171</v>
      </c>
      <c r="E9" s="94"/>
      <c r="F9" s="94"/>
      <c r="G9" s="94"/>
      <c r="H9" s="97" t="s">
        <v>172</v>
      </c>
      <c r="K9" s="104"/>
      <c r="L9" s="104"/>
      <c r="M9" s="104"/>
      <c r="N9" s="104"/>
      <c r="O9" s="104"/>
      <c r="P9" s="104"/>
      <c r="Q9" s="104"/>
      <c r="R9" s="104"/>
      <c r="S9" s="104"/>
      <c r="T9" s="109"/>
      <c r="U9" s="109"/>
      <c r="V9" s="109"/>
      <c r="W9" s="109"/>
      <c r="X9" s="109"/>
      <c r="Y9" s="109"/>
      <c r="Z9" s="104"/>
      <c r="AA9" s="104"/>
    </row>
    <row r="10" spans="1:27" x14ac:dyDescent="0.25">
      <c r="B10" s="94"/>
      <c r="C10" s="94" t="s">
        <v>173</v>
      </c>
      <c r="D10" s="94"/>
      <c r="E10" s="94"/>
      <c r="F10" s="94">
        <v>0.3</v>
      </c>
      <c r="G10" s="94"/>
      <c r="H10" s="97" t="s">
        <v>174</v>
      </c>
      <c r="K10" s="257"/>
      <c r="L10" s="258"/>
      <c r="M10" s="255"/>
      <c r="N10" s="104"/>
      <c r="O10" s="104"/>
      <c r="P10" s="104"/>
      <c r="Q10" s="104"/>
      <c r="R10" s="104"/>
      <c r="S10" s="104"/>
      <c r="T10" s="109"/>
      <c r="U10" s="109"/>
      <c r="V10" s="109"/>
      <c r="W10" s="109"/>
      <c r="X10" s="109"/>
      <c r="Y10" s="109"/>
      <c r="Z10" s="104"/>
      <c r="AA10" s="104"/>
    </row>
    <row r="11" spans="1:27" x14ac:dyDescent="0.25">
      <c r="B11" s="94"/>
      <c r="C11" s="96"/>
      <c r="D11" s="96"/>
      <c r="E11" s="96"/>
      <c r="F11" s="96"/>
      <c r="G11" s="96"/>
      <c r="H11" s="97"/>
      <c r="K11" s="257"/>
      <c r="L11" s="104"/>
      <c r="M11" s="255"/>
      <c r="N11" s="104"/>
      <c r="O11" s="104"/>
      <c r="P11" s="104"/>
      <c r="Q11" s="104"/>
      <c r="R11" s="104"/>
      <c r="S11" s="104"/>
      <c r="T11" s="109"/>
      <c r="U11" s="109"/>
      <c r="V11" s="109"/>
      <c r="W11" s="109"/>
      <c r="X11" s="109"/>
      <c r="Y11" s="109"/>
      <c r="Z11" s="104"/>
      <c r="AA11" s="104"/>
    </row>
    <row r="12" spans="1:27" x14ac:dyDescent="0.25">
      <c r="B12" s="94"/>
      <c r="C12" s="279" t="s">
        <v>277</v>
      </c>
      <c r="D12" s="114">
        <f>'Nitrous oxide MMS'!K50*100%*$F$10</f>
        <v>9.6299068984873254E-2</v>
      </c>
      <c r="E12" s="114">
        <f>'Nitrous oxide MMS'!L50*100%*$F$10</f>
        <v>0.16281533012405011</v>
      </c>
      <c r="F12" s="114">
        <f>'Nitrous oxide MMS'!M50*100%*$F$10</f>
        <v>0.17810397454079469</v>
      </c>
      <c r="G12" s="96"/>
      <c r="H12" s="97"/>
      <c r="K12" s="259"/>
      <c r="L12" s="260"/>
      <c r="M12" s="104"/>
      <c r="N12" s="104"/>
      <c r="O12" s="104"/>
      <c r="P12" s="104"/>
      <c r="Q12" s="104"/>
      <c r="R12" s="104"/>
      <c r="S12" s="104"/>
      <c r="T12" s="111"/>
      <c r="U12" s="109"/>
      <c r="V12" s="109"/>
      <c r="W12" s="109"/>
      <c r="X12" s="109"/>
      <c r="Y12" s="109"/>
      <c r="Z12" s="104"/>
      <c r="AA12" s="104"/>
    </row>
    <row r="13" spans="1:27" x14ac:dyDescent="0.25">
      <c r="B13" s="94"/>
      <c r="C13" s="279" t="s">
        <v>281</v>
      </c>
      <c r="D13" s="114">
        <f>'Nitrous oxide MMS'!K51*100%*$F$10</f>
        <v>0</v>
      </c>
      <c r="E13" s="114">
        <f>'Nitrous oxide MMS'!L51*100%*$F$10</f>
        <v>0</v>
      </c>
      <c r="F13" s="114">
        <f>'Nitrous oxide MMS'!M51*100%*$F$10</f>
        <v>0</v>
      </c>
      <c r="G13" s="96"/>
      <c r="H13" s="112"/>
      <c r="K13" s="104"/>
      <c r="L13" s="255"/>
      <c r="M13" s="256"/>
      <c r="N13" s="256"/>
      <c r="O13" s="256"/>
      <c r="P13" s="104"/>
      <c r="Q13" s="104"/>
      <c r="R13" s="104"/>
      <c r="S13" s="104"/>
      <c r="T13" s="104"/>
      <c r="U13" s="104"/>
      <c r="V13" s="104"/>
      <c r="W13" s="104"/>
      <c r="X13" s="104"/>
      <c r="Y13" s="104"/>
      <c r="Z13" s="104"/>
      <c r="AA13" s="104"/>
    </row>
    <row r="14" spans="1:27" x14ac:dyDescent="0.25">
      <c r="B14" s="94"/>
      <c r="C14" s="279" t="s">
        <v>282</v>
      </c>
      <c r="D14" s="114">
        <f>'Nitrous oxide MMS'!K52*100%*$F$10</f>
        <v>0</v>
      </c>
      <c r="E14" s="114">
        <f>'Nitrous oxide MMS'!L52*100%*$F$10</f>
        <v>0</v>
      </c>
      <c r="F14" s="114">
        <f>'Nitrous oxide MMS'!M52*100%*$F$10</f>
        <v>0</v>
      </c>
      <c r="G14" s="96"/>
      <c r="H14" s="97"/>
      <c r="K14" s="104"/>
      <c r="L14" s="255"/>
      <c r="M14" s="256"/>
      <c r="N14" s="256"/>
      <c r="O14" s="256"/>
      <c r="P14" s="104"/>
      <c r="Q14" s="104"/>
      <c r="R14" s="104"/>
      <c r="S14" s="104"/>
      <c r="T14" s="104"/>
      <c r="U14" s="107"/>
      <c r="V14" s="104"/>
      <c r="W14" s="104"/>
      <c r="X14" s="104"/>
      <c r="Y14" s="104"/>
      <c r="Z14" s="104"/>
      <c r="AA14" s="104"/>
    </row>
    <row r="15" spans="1:27" x14ac:dyDescent="0.25">
      <c r="B15" s="94"/>
      <c r="C15" s="279" t="s">
        <v>283</v>
      </c>
      <c r="D15" s="114">
        <f>'Nitrous oxide MMS'!K53*100%*$F$10</f>
        <v>0</v>
      </c>
      <c r="E15" s="114">
        <f>'Nitrous oxide MMS'!L53*100%*$F$10</f>
        <v>0</v>
      </c>
      <c r="F15" s="114">
        <f>'Nitrous oxide MMS'!M53*100%*$F$10</f>
        <v>0</v>
      </c>
      <c r="G15" s="96"/>
      <c r="H15" s="113"/>
      <c r="K15" s="104"/>
      <c r="L15" s="255"/>
      <c r="M15" s="256"/>
      <c r="N15" s="256"/>
      <c r="O15" s="256"/>
      <c r="P15" s="104"/>
      <c r="Q15" s="104"/>
      <c r="R15" s="104"/>
      <c r="S15" s="104"/>
      <c r="T15" s="104"/>
      <c r="U15" s="104"/>
      <c r="V15" s="104"/>
      <c r="W15" s="104"/>
      <c r="X15" s="104"/>
      <c r="Y15" s="104"/>
      <c r="Z15" s="104"/>
      <c r="AA15" s="104"/>
    </row>
    <row r="16" spans="1:27" x14ac:dyDescent="0.25">
      <c r="B16" s="94"/>
      <c r="C16" s="94"/>
      <c r="D16" s="94"/>
      <c r="E16" s="94"/>
      <c r="F16" s="94"/>
      <c r="G16" s="96"/>
      <c r="H16" s="97"/>
      <c r="K16" s="104"/>
      <c r="L16" s="255"/>
      <c r="M16" s="256"/>
      <c r="N16" s="256"/>
      <c r="O16" s="256"/>
      <c r="P16" s="104"/>
      <c r="Q16" s="104"/>
      <c r="R16" s="104"/>
      <c r="S16" s="104"/>
      <c r="T16" s="106"/>
      <c r="U16" s="106"/>
      <c r="V16" s="106"/>
      <c r="W16" s="106"/>
      <c r="X16" s="106"/>
      <c r="Y16" s="106"/>
      <c r="Z16" s="104"/>
      <c r="AA16" s="104"/>
    </row>
    <row r="17" spans="2:27" x14ac:dyDescent="0.25">
      <c r="B17" s="94"/>
      <c r="C17" s="94"/>
      <c r="D17" s="94"/>
      <c r="E17" s="94"/>
      <c r="F17" s="94"/>
      <c r="G17" s="94"/>
      <c r="H17" s="97"/>
      <c r="K17" s="104"/>
      <c r="L17" s="104"/>
      <c r="M17" s="104"/>
      <c r="N17" s="104"/>
      <c r="O17" s="104"/>
      <c r="P17" s="104"/>
      <c r="Q17" s="104"/>
      <c r="R17" s="104"/>
      <c r="S17" s="104"/>
      <c r="T17" s="104"/>
      <c r="U17" s="104"/>
      <c r="V17" s="104"/>
      <c r="W17" s="104"/>
      <c r="X17" s="104"/>
      <c r="Y17" s="104"/>
      <c r="Z17" s="104"/>
      <c r="AA17" s="104"/>
    </row>
    <row r="18" spans="2:27" x14ac:dyDescent="0.25">
      <c r="B18" s="98" t="s">
        <v>175</v>
      </c>
      <c r="C18" s="94"/>
      <c r="D18" s="98" t="s">
        <v>167</v>
      </c>
      <c r="E18" s="94"/>
      <c r="F18" s="94"/>
      <c r="G18" s="94"/>
      <c r="H18" s="97" t="s">
        <v>176</v>
      </c>
      <c r="K18" s="104"/>
      <c r="L18" s="104"/>
      <c r="M18" s="104"/>
      <c r="N18" s="104"/>
      <c r="O18" s="104"/>
    </row>
    <row r="19" spans="2:27" x14ac:dyDescent="0.25">
      <c r="B19" s="94"/>
      <c r="C19" s="94"/>
      <c r="D19" s="94" t="s">
        <v>177</v>
      </c>
      <c r="E19" s="94"/>
      <c r="F19" s="94"/>
      <c r="G19" s="94" t="s">
        <v>166</v>
      </c>
      <c r="H19" s="97"/>
      <c r="K19" s="104"/>
      <c r="L19" s="104"/>
      <c r="M19" s="104"/>
      <c r="N19" s="104"/>
      <c r="O19" s="104"/>
    </row>
    <row r="20" spans="2:27" x14ac:dyDescent="0.25">
      <c r="B20" s="94"/>
      <c r="C20" s="94"/>
      <c r="D20" s="94" t="s">
        <v>292</v>
      </c>
      <c r="E20" s="94">
        <v>0.01</v>
      </c>
      <c r="F20" s="94"/>
      <c r="G20" s="94" t="s">
        <v>163</v>
      </c>
      <c r="H20" s="97"/>
      <c r="K20" s="104"/>
      <c r="L20" s="104"/>
      <c r="M20" s="104"/>
      <c r="N20" s="104"/>
      <c r="O20" s="104"/>
    </row>
    <row r="21" spans="2:27" x14ac:dyDescent="0.25">
      <c r="B21" s="94"/>
      <c r="C21" s="94"/>
      <c r="D21" s="94"/>
      <c r="E21" s="94"/>
      <c r="F21" s="94"/>
      <c r="G21" s="94"/>
      <c r="H21" s="97"/>
      <c r="K21" s="86"/>
    </row>
    <row r="22" spans="2:27" x14ac:dyDescent="0.25">
      <c r="B22" s="94" t="s">
        <v>178</v>
      </c>
      <c r="C22" s="279" t="s">
        <v>277</v>
      </c>
      <c r="D22" s="110">
        <f t="shared" ref="D22:F25" si="0">D12*$E$20*$C$5</f>
        <v>1.5132710840480082E-3</v>
      </c>
      <c r="E22" s="110">
        <f t="shared" si="0"/>
        <v>2.5585266162350732E-3</v>
      </c>
      <c r="F22" s="110">
        <f t="shared" si="0"/>
        <v>2.7987767427839166E-3</v>
      </c>
      <c r="G22" s="103" t="s">
        <v>168</v>
      </c>
      <c r="H22" s="97"/>
      <c r="K22" s="86"/>
    </row>
    <row r="23" spans="2:27" x14ac:dyDescent="0.25">
      <c r="B23" s="94"/>
      <c r="C23" s="279" t="s">
        <v>281</v>
      </c>
      <c r="D23" s="110">
        <f t="shared" si="0"/>
        <v>0</v>
      </c>
      <c r="E23" s="110">
        <f t="shared" si="0"/>
        <v>0</v>
      </c>
      <c r="F23" s="110">
        <f t="shared" si="0"/>
        <v>0</v>
      </c>
      <c r="G23" s="103" t="s">
        <v>168</v>
      </c>
      <c r="H23" s="97"/>
      <c r="K23" s="86"/>
    </row>
    <row r="24" spans="2:27" x14ac:dyDescent="0.25">
      <c r="B24" s="94"/>
      <c r="C24" s="279" t="s">
        <v>282</v>
      </c>
      <c r="D24" s="110">
        <f t="shared" si="0"/>
        <v>0</v>
      </c>
      <c r="E24" s="110">
        <f t="shared" si="0"/>
        <v>0</v>
      </c>
      <c r="F24" s="110">
        <f t="shared" si="0"/>
        <v>0</v>
      </c>
      <c r="G24" s="103" t="s">
        <v>168</v>
      </c>
      <c r="H24" s="112"/>
      <c r="K24" s="86"/>
    </row>
    <row r="25" spans="2:27" x14ac:dyDescent="0.25">
      <c r="B25" s="94"/>
      <c r="C25" s="279" t="s">
        <v>283</v>
      </c>
      <c r="D25" s="110">
        <f t="shared" si="0"/>
        <v>0</v>
      </c>
      <c r="E25" s="110">
        <f t="shared" si="0"/>
        <v>0</v>
      </c>
      <c r="F25" s="110">
        <f t="shared" si="0"/>
        <v>0</v>
      </c>
      <c r="G25" s="103" t="s">
        <v>168</v>
      </c>
      <c r="H25" s="97"/>
      <c r="K25" s="86"/>
    </row>
    <row r="26" spans="2:27" x14ac:dyDescent="0.25">
      <c r="B26" s="94"/>
      <c r="C26" s="94"/>
      <c r="D26" s="94"/>
      <c r="E26" s="94"/>
      <c r="F26" s="94"/>
      <c r="G26" s="94"/>
      <c r="H26" s="97"/>
      <c r="K26" s="86"/>
    </row>
    <row r="27" spans="2:27" x14ac:dyDescent="0.25">
      <c r="B27" s="94"/>
      <c r="C27" s="94"/>
      <c r="D27" s="94"/>
      <c r="E27" s="94"/>
      <c r="F27" s="94"/>
      <c r="G27" s="94"/>
      <c r="H27" s="97"/>
      <c r="K27" s="86"/>
    </row>
    <row r="28" spans="2:27" x14ac:dyDescent="0.25">
      <c r="B28" s="98" t="s">
        <v>98</v>
      </c>
      <c r="C28" s="94"/>
      <c r="D28" s="287">
        <f>SUM(D22:F25)</f>
        <v>6.8705744430669988E-3</v>
      </c>
      <c r="E28" s="94"/>
      <c r="F28" s="94"/>
      <c r="G28" s="105" t="s">
        <v>157</v>
      </c>
      <c r="H28" s="97"/>
      <c r="K28" s="86"/>
    </row>
    <row r="29" spans="2:27" x14ac:dyDescent="0.25">
      <c r="B29" s="98" t="s">
        <v>98</v>
      </c>
      <c r="C29" s="94"/>
      <c r="D29" s="287">
        <f>D28*310</f>
        <v>2.1298780773507695</v>
      </c>
      <c r="E29" s="94"/>
      <c r="F29" s="94"/>
      <c r="G29" s="105" t="s">
        <v>165</v>
      </c>
      <c r="H29" s="97"/>
      <c r="K29" s="86"/>
    </row>
    <row r="30" spans="2:27" x14ac:dyDescent="0.25">
      <c r="B30" s="98" t="s">
        <v>179</v>
      </c>
      <c r="C30" s="94"/>
      <c r="D30" s="287">
        <f>D29*10^3</f>
        <v>2129.8780773507697</v>
      </c>
      <c r="E30" s="94"/>
      <c r="F30" s="94"/>
      <c r="G30" s="105" t="s">
        <v>124</v>
      </c>
      <c r="H30" s="97"/>
      <c r="K30" s="86"/>
    </row>
    <row r="31" spans="2:27" x14ac:dyDescent="0.25">
      <c r="K31" s="86"/>
    </row>
  </sheetData>
  <sheetProtection sheet="1" objects="1" scenarios="1"/>
  <pageMargins left="0.75" right="0.75" top="1" bottom="1" header="0.5" footer="0.5"/>
  <pageSetup paperSize="9" orientation="portrait"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
  <sheetViews>
    <sheetView showGridLines="0" zoomScale="80" zoomScaleNormal="80" workbookViewId="0"/>
  </sheetViews>
  <sheetFormatPr defaultRowHeight="22.5" customHeight="1" x14ac:dyDescent="0.25"/>
  <cols>
    <col min="1" max="1" width="3.28515625" style="80" customWidth="1"/>
    <col min="2" max="2" width="36.5703125" style="80" bestFit="1" customWidth="1"/>
    <col min="3" max="5" width="10.7109375" style="80" customWidth="1"/>
    <col min="6" max="6" width="12.42578125" style="80" customWidth="1"/>
    <col min="7" max="33" width="10.7109375" style="80" customWidth="1"/>
    <col min="34" max="256" width="8.85546875" style="80"/>
    <col min="257" max="257" width="2.7109375" style="80" customWidth="1"/>
    <col min="258" max="258" width="36.5703125" style="80" bestFit="1" customWidth="1"/>
    <col min="259" max="261" width="10.7109375" style="80" customWidth="1"/>
    <col min="262" max="262" width="12.42578125" style="80" customWidth="1"/>
    <col min="263" max="289" width="10.7109375" style="80" customWidth="1"/>
    <col min="290" max="512" width="8.85546875" style="80"/>
    <col min="513" max="513" width="2.7109375" style="80" customWidth="1"/>
    <col min="514" max="514" width="36.5703125" style="80" bestFit="1" customWidth="1"/>
    <col min="515" max="517" width="10.7109375" style="80" customWidth="1"/>
    <col min="518" max="518" width="12.42578125" style="80" customWidth="1"/>
    <col min="519" max="545" width="10.7109375" style="80" customWidth="1"/>
    <col min="546" max="768" width="8.85546875" style="80"/>
    <col min="769" max="769" width="2.7109375" style="80" customWidth="1"/>
    <col min="770" max="770" width="36.5703125" style="80" bestFit="1" customWidth="1"/>
    <col min="771" max="773" width="10.7109375" style="80" customWidth="1"/>
    <col min="774" max="774" width="12.42578125" style="80" customWidth="1"/>
    <col min="775" max="801" width="10.7109375" style="80" customWidth="1"/>
    <col min="802" max="1024" width="8.85546875" style="80"/>
    <col min="1025" max="1025" width="2.7109375" style="80" customWidth="1"/>
    <col min="1026" max="1026" width="36.5703125" style="80" bestFit="1" customWidth="1"/>
    <col min="1027" max="1029" width="10.7109375" style="80" customWidth="1"/>
    <col min="1030" max="1030" width="12.42578125" style="80" customWidth="1"/>
    <col min="1031" max="1057" width="10.7109375" style="80" customWidth="1"/>
    <col min="1058" max="1280" width="8.85546875" style="80"/>
    <col min="1281" max="1281" width="2.7109375" style="80" customWidth="1"/>
    <col min="1282" max="1282" width="36.5703125" style="80" bestFit="1" customWidth="1"/>
    <col min="1283" max="1285" width="10.7109375" style="80" customWidth="1"/>
    <col min="1286" max="1286" width="12.42578125" style="80" customWidth="1"/>
    <col min="1287" max="1313" width="10.7109375" style="80" customWidth="1"/>
    <col min="1314" max="1536" width="8.85546875" style="80"/>
    <col min="1537" max="1537" width="2.7109375" style="80" customWidth="1"/>
    <col min="1538" max="1538" width="36.5703125" style="80" bestFit="1" customWidth="1"/>
    <col min="1539" max="1541" width="10.7109375" style="80" customWidth="1"/>
    <col min="1542" max="1542" width="12.42578125" style="80" customWidth="1"/>
    <col min="1543" max="1569" width="10.7109375" style="80" customWidth="1"/>
    <col min="1570" max="1792" width="8.85546875" style="80"/>
    <col min="1793" max="1793" width="2.7109375" style="80" customWidth="1"/>
    <col min="1794" max="1794" width="36.5703125" style="80" bestFit="1" customWidth="1"/>
    <col min="1795" max="1797" width="10.7109375" style="80" customWidth="1"/>
    <col min="1798" max="1798" width="12.42578125" style="80" customWidth="1"/>
    <col min="1799" max="1825" width="10.7109375" style="80" customWidth="1"/>
    <col min="1826" max="2048" width="8.85546875" style="80"/>
    <col min="2049" max="2049" width="2.7109375" style="80" customWidth="1"/>
    <col min="2050" max="2050" width="36.5703125" style="80" bestFit="1" customWidth="1"/>
    <col min="2051" max="2053" width="10.7109375" style="80" customWidth="1"/>
    <col min="2054" max="2054" width="12.42578125" style="80" customWidth="1"/>
    <col min="2055" max="2081" width="10.7109375" style="80" customWidth="1"/>
    <col min="2082" max="2304" width="8.85546875" style="80"/>
    <col min="2305" max="2305" width="2.7109375" style="80" customWidth="1"/>
    <col min="2306" max="2306" width="36.5703125" style="80" bestFit="1" customWidth="1"/>
    <col min="2307" max="2309" width="10.7109375" style="80" customWidth="1"/>
    <col min="2310" max="2310" width="12.42578125" style="80" customWidth="1"/>
    <col min="2311" max="2337" width="10.7109375" style="80" customWidth="1"/>
    <col min="2338" max="2560" width="8.85546875" style="80"/>
    <col min="2561" max="2561" width="2.7109375" style="80" customWidth="1"/>
    <col min="2562" max="2562" width="36.5703125" style="80" bestFit="1" customWidth="1"/>
    <col min="2563" max="2565" width="10.7109375" style="80" customWidth="1"/>
    <col min="2566" max="2566" width="12.42578125" style="80" customWidth="1"/>
    <col min="2567" max="2593" width="10.7109375" style="80" customWidth="1"/>
    <col min="2594" max="2816" width="8.85546875" style="80"/>
    <col min="2817" max="2817" width="2.7109375" style="80" customWidth="1"/>
    <col min="2818" max="2818" width="36.5703125" style="80" bestFit="1" customWidth="1"/>
    <col min="2819" max="2821" width="10.7109375" style="80" customWidth="1"/>
    <col min="2822" max="2822" width="12.42578125" style="80" customWidth="1"/>
    <col min="2823" max="2849" width="10.7109375" style="80" customWidth="1"/>
    <col min="2850" max="3072" width="8.85546875" style="80"/>
    <col min="3073" max="3073" width="2.7109375" style="80" customWidth="1"/>
    <col min="3074" max="3074" width="36.5703125" style="80" bestFit="1" customWidth="1"/>
    <col min="3075" max="3077" width="10.7109375" style="80" customWidth="1"/>
    <col min="3078" max="3078" width="12.42578125" style="80" customWidth="1"/>
    <col min="3079" max="3105" width="10.7109375" style="80" customWidth="1"/>
    <col min="3106" max="3328" width="8.85546875" style="80"/>
    <col min="3329" max="3329" width="2.7109375" style="80" customWidth="1"/>
    <col min="3330" max="3330" width="36.5703125" style="80" bestFit="1" customWidth="1"/>
    <col min="3331" max="3333" width="10.7109375" style="80" customWidth="1"/>
    <col min="3334" max="3334" width="12.42578125" style="80" customWidth="1"/>
    <col min="3335" max="3361" width="10.7109375" style="80" customWidth="1"/>
    <col min="3362" max="3584" width="8.85546875" style="80"/>
    <col min="3585" max="3585" width="2.7109375" style="80" customWidth="1"/>
    <col min="3586" max="3586" width="36.5703125" style="80" bestFit="1" customWidth="1"/>
    <col min="3587" max="3589" width="10.7109375" style="80" customWidth="1"/>
    <col min="3590" max="3590" width="12.42578125" style="80" customWidth="1"/>
    <col min="3591" max="3617" width="10.7109375" style="80" customWidth="1"/>
    <col min="3618" max="3840" width="8.85546875" style="80"/>
    <col min="3841" max="3841" width="2.7109375" style="80" customWidth="1"/>
    <col min="3842" max="3842" width="36.5703125" style="80" bestFit="1" customWidth="1"/>
    <col min="3843" max="3845" width="10.7109375" style="80" customWidth="1"/>
    <col min="3846" max="3846" width="12.42578125" style="80" customWidth="1"/>
    <col min="3847" max="3873" width="10.7109375" style="80" customWidth="1"/>
    <col min="3874" max="4096" width="8.85546875" style="80"/>
    <col min="4097" max="4097" width="2.7109375" style="80" customWidth="1"/>
    <col min="4098" max="4098" width="36.5703125" style="80" bestFit="1" customWidth="1"/>
    <col min="4099" max="4101" width="10.7109375" style="80" customWidth="1"/>
    <col min="4102" max="4102" width="12.42578125" style="80" customWidth="1"/>
    <col min="4103" max="4129" width="10.7109375" style="80" customWidth="1"/>
    <col min="4130" max="4352" width="8.85546875" style="80"/>
    <col min="4353" max="4353" width="2.7109375" style="80" customWidth="1"/>
    <col min="4354" max="4354" width="36.5703125" style="80" bestFit="1" customWidth="1"/>
    <col min="4355" max="4357" width="10.7109375" style="80" customWidth="1"/>
    <col min="4358" max="4358" width="12.42578125" style="80" customWidth="1"/>
    <col min="4359" max="4385" width="10.7109375" style="80" customWidth="1"/>
    <col min="4386" max="4608" width="8.85546875" style="80"/>
    <col min="4609" max="4609" width="2.7109375" style="80" customWidth="1"/>
    <col min="4610" max="4610" width="36.5703125" style="80" bestFit="1" customWidth="1"/>
    <col min="4611" max="4613" width="10.7109375" style="80" customWidth="1"/>
    <col min="4614" max="4614" width="12.42578125" style="80" customWidth="1"/>
    <col min="4615" max="4641" width="10.7109375" style="80" customWidth="1"/>
    <col min="4642" max="4864" width="8.85546875" style="80"/>
    <col min="4865" max="4865" width="2.7109375" style="80" customWidth="1"/>
    <col min="4866" max="4866" width="36.5703125" style="80" bestFit="1" customWidth="1"/>
    <col min="4867" max="4869" width="10.7109375" style="80" customWidth="1"/>
    <col min="4870" max="4870" width="12.42578125" style="80" customWidth="1"/>
    <col min="4871" max="4897" width="10.7109375" style="80" customWidth="1"/>
    <col min="4898" max="5120" width="8.85546875" style="80"/>
    <col min="5121" max="5121" width="2.7109375" style="80" customWidth="1"/>
    <col min="5122" max="5122" width="36.5703125" style="80" bestFit="1" customWidth="1"/>
    <col min="5123" max="5125" width="10.7109375" style="80" customWidth="1"/>
    <col min="5126" max="5126" width="12.42578125" style="80" customWidth="1"/>
    <col min="5127" max="5153" width="10.7109375" style="80" customWidth="1"/>
    <col min="5154" max="5376" width="8.85546875" style="80"/>
    <col min="5377" max="5377" width="2.7109375" style="80" customWidth="1"/>
    <col min="5378" max="5378" width="36.5703125" style="80" bestFit="1" customWidth="1"/>
    <col min="5379" max="5381" width="10.7109375" style="80" customWidth="1"/>
    <col min="5382" max="5382" width="12.42578125" style="80" customWidth="1"/>
    <col min="5383" max="5409" width="10.7109375" style="80" customWidth="1"/>
    <col min="5410" max="5632" width="8.85546875" style="80"/>
    <col min="5633" max="5633" width="2.7109375" style="80" customWidth="1"/>
    <col min="5634" max="5634" width="36.5703125" style="80" bestFit="1" customWidth="1"/>
    <col min="5635" max="5637" width="10.7109375" style="80" customWidth="1"/>
    <col min="5638" max="5638" width="12.42578125" style="80" customWidth="1"/>
    <col min="5639" max="5665" width="10.7109375" style="80" customWidth="1"/>
    <col min="5666" max="5888" width="8.85546875" style="80"/>
    <col min="5889" max="5889" width="2.7109375" style="80" customWidth="1"/>
    <col min="5890" max="5890" width="36.5703125" style="80" bestFit="1" customWidth="1"/>
    <col min="5891" max="5893" width="10.7109375" style="80" customWidth="1"/>
    <col min="5894" max="5894" width="12.42578125" style="80" customWidth="1"/>
    <col min="5895" max="5921" width="10.7109375" style="80" customWidth="1"/>
    <col min="5922" max="6144" width="8.85546875" style="80"/>
    <col min="6145" max="6145" width="2.7109375" style="80" customWidth="1"/>
    <col min="6146" max="6146" width="36.5703125" style="80" bestFit="1" customWidth="1"/>
    <col min="6147" max="6149" width="10.7109375" style="80" customWidth="1"/>
    <col min="6150" max="6150" width="12.42578125" style="80" customWidth="1"/>
    <col min="6151" max="6177" width="10.7109375" style="80" customWidth="1"/>
    <col min="6178" max="6400" width="8.85546875" style="80"/>
    <col min="6401" max="6401" width="2.7109375" style="80" customWidth="1"/>
    <col min="6402" max="6402" width="36.5703125" style="80" bestFit="1" customWidth="1"/>
    <col min="6403" max="6405" width="10.7109375" style="80" customWidth="1"/>
    <col min="6406" max="6406" width="12.42578125" style="80" customWidth="1"/>
    <col min="6407" max="6433" width="10.7109375" style="80" customWidth="1"/>
    <col min="6434" max="6656" width="8.85546875" style="80"/>
    <col min="6657" max="6657" width="2.7109375" style="80" customWidth="1"/>
    <col min="6658" max="6658" width="36.5703125" style="80" bestFit="1" customWidth="1"/>
    <col min="6659" max="6661" width="10.7109375" style="80" customWidth="1"/>
    <col min="6662" max="6662" width="12.42578125" style="80" customWidth="1"/>
    <col min="6663" max="6689" width="10.7109375" style="80" customWidth="1"/>
    <col min="6690" max="6912" width="8.85546875" style="80"/>
    <col min="6913" max="6913" width="2.7109375" style="80" customWidth="1"/>
    <col min="6914" max="6914" width="36.5703125" style="80" bestFit="1" customWidth="1"/>
    <col min="6915" max="6917" width="10.7109375" style="80" customWidth="1"/>
    <col min="6918" max="6918" width="12.42578125" style="80" customWidth="1"/>
    <col min="6919" max="6945" width="10.7109375" style="80" customWidth="1"/>
    <col min="6946" max="7168" width="8.85546875" style="80"/>
    <col min="7169" max="7169" width="2.7109375" style="80" customWidth="1"/>
    <col min="7170" max="7170" width="36.5703125" style="80" bestFit="1" customWidth="1"/>
    <col min="7171" max="7173" width="10.7109375" style="80" customWidth="1"/>
    <col min="7174" max="7174" width="12.42578125" style="80" customWidth="1"/>
    <col min="7175" max="7201" width="10.7109375" style="80" customWidth="1"/>
    <col min="7202" max="7424" width="8.85546875" style="80"/>
    <col min="7425" max="7425" width="2.7109375" style="80" customWidth="1"/>
    <col min="7426" max="7426" width="36.5703125" style="80" bestFit="1" customWidth="1"/>
    <col min="7427" max="7429" width="10.7109375" style="80" customWidth="1"/>
    <col min="7430" max="7430" width="12.42578125" style="80" customWidth="1"/>
    <col min="7431" max="7457" width="10.7109375" style="80" customWidth="1"/>
    <col min="7458" max="7680" width="8.85546875" style="80"/>
    <col min="7681" max="7681" width="2.7109375" style="80" customWidth="1"/>
    <col min="7682" max="7682" width="36.5703125" style="80" bestFit="1" customWidth="1"/>
    <col min="7683" max="7685" width="10.7109375" style="80" customWidth="1"/>
    <col min="7686" max="7686" width="12.42578125" style="80" customWidth="1"/>
    <col min="7687" max="7713" width="10.7109375" style="80" customWidth="1"/>
    <col min="7714" max="7936" width="8.85546875" style="80"/>
    <col min="7937" max="7937" width="2.7109375" style="80" customWidth="1"/>
    <col min="7938" max="7938" width="36.5703125" style="80" bestFit="1" customWidth="1"/>
    <col min="7939" max="7941" width="10.7109375" style="80" customWidth="1"/>
    <col min="7942" max="7942" width="12.42578125" style="80" customWidth="1"/>
    <col min="7943" max="7969" width="10.7109375" style="80" customWidth="1"/>
    <col min="7970" max="8192" width="8.85546875" style="80"/>
    <col min="8193" max="8193" width="2.7109375" style="80" customWidth="1"/>
    <col min="8194" max="8194" width="36.5703125" style="80" bestFit="1" customWidth="1"/>
    <col min="8195" max="8197" width="10.7109375" style="80" customWidth="1"/>
    <col min="8198" max="8198" width="12.42578125" style="80" customWidth="1"/>
    <col min="8199" max="8225" width="10.7109375" style="80" customWidth="1"/>
    <col min="8226" max="8448" width="8.85546875" style="80"/>
    <col min="8449" max="8449" width="2.7109375" style="80" customWidth="1"/>
    <col min="8450" max="8450" width="36.5703125" style="80" bestFit="1" customWidth="1"/>
    <col min="8451" max="8453" width="10.7109375" style="80" customWidth="1"/>
    <col min="8454" max="8454" width="12.42578125" style="80" customWidth="1"/>
    <col min="8455" max="8481" width="10.7109375" style="80" customWidth="1"/>
    <col min="8482" max="8704" width="8.85546875" style="80"/>
    <col min="8705" max="8705" width="2.7109375" style="80" customWidth="1"/>
    <col min="8706" max="8706" width="36.5703125" style="80" bestFit="1" customWidth="1"/>
    <col min="8707" max="8709" width="10.7109375" style="80" customWidth="1"/>
    <col min="8710" max="8710" width="12.42578125" style="80" customWidth="1"/>
    <col min="8711" max="8737" width="10.7109375" style="80" customWidth="1"/>
    <col min="8738" max="8960" width="8.85546875" style="80"/>
    <col min="8961" max="8961" width="2.7109375" style="80" customWidth="1"/>
    <col min="8962" max="8962" width="36.5703125" style="80" bestFit="1" customWidth="1"/>
    <col min="8963" max="8965" width="10.7109375" style="80" customWidth="1"/>
    <col min="8966" max="8966" width="12.42578125" style="80" customWidth="1"/>
    <col min="8967" max="8993" width="10.7109375" style="80" customWidth="1"/>
    <col min="8994" max="9216" width="8.85546875" style="80"/>
    <col min="9217" max="9217" width="2.7109375" style="80" customWidth="1"/>
    <col min="9218" max="9218" width="36.5703125" style="80" bestFit="1" customWidth="1"/>
    <col min="9219" max="9221" width="10.7109375" style="80" customWidth="1"/>
    <col min="9222" max="9222" width="12.42578125" style="80" customWidth="1"/>
    <col min="9223" max="9249" width="10.7109375" style="80" customWidth="1"/>
    <col min="9250" max="9472" width="8.85546875" style="80"/>
    <col min="9473" max="9473" width="2.7109375" style="80" customWidth="1"/>
    <col min="9474" max="9474" width="36.5703125" style="80" bestFit="1" customWidth="1"/>
    <col min="9475" max="9477" width="10.7109375" style="80" customWidth="1"/>
    <col min="9478" max="9478" width="12.42578125" style="80" customWidth="1"/>
    <col min="9479" max="9505" width="10.7109375" style="80" customWidth="1"/>
    <col min="9506" max="9728" width="8.85546875" style="80"/>
    <col min="9729" max="9729" width="2.7109375" style="80" customWidth="1"/>
    <col min="9730" max="9730" width="36.5703125" style="80" bestFit="1" customWidth="1"/>
    <col min="9731" max="9733" width="10.7109375" style="80" customWidth="1"/>
    <col min="9734" max="9734" width="12.42578125" style="80" customWidth="1"/>
    <col min="9735" max="9761" width="10.7109375" style="80" customWidth="1"/>
    <col min="9762" max="9984" width="8.85546875" style="80"/>
    <col min="9985" max="9985" width="2.7109375" style="80" customWidth="1"/>
    <col min="9986" max="9986" width="36.5703125" style="80" bestFit="1" customWidth="1"/>
    <col min="9987" max="9989" width="10.7109375" style="80" customWidth="1"/>
    <col min="9990" max="9990" width="12.42578125" style="80" customWidth="1"/>
    <col min="9991" max="10017" width="10.7109375" style="80" customWidth="1"/>
    <col min="10018" max="10240" width="8.85546875" style="80"/>
    <col min="10241" max="10241" width="2.7109375" style="80" customWidth="1"/>
    <col min="10242" max="10242" width="36.5703125" style="80" bestFit="1" customWidth="1"/>
    <col min="10243" max="10245" width="10.7109375" style="80" customWidth="1"/>
    <col min="10246" max="10246" width="12.42578125" style="80" customWidth="1"/>
    <col min="10247" max="10273" width="10.7109375" style="80" customWidth="1"/>
    <col min="10274" max="10496" width="8.85546875" style="80"/>
    <col min="10497" max="10497" width="2.7109375" style="80" customWidth="1"/>
    <col min="10498" max="10498" width="36.5703125" style="80" bestFit="1" customWidth="1"/>
    <col min="10499" max="10501" width="10.7109375" style="80" customWidth="1"/>
    <col min="10502" max="10502" width="12.42578125" style="80" customWidth="1"/>
    <col min="10503" max="10529" width="10.7109375" style="80" customWidth="1"/>
    <col min="10530" max="10752" width="8.85546875" style="80"/>
    <col min="10753" max="10753" width="2.7109375" style="80" customWidth="1"/>
    <col min="10754" max="10754" width="36.5703125" style="80" bestFit="1" customWidth="1"/>
    <col min="10755" max="10757" width="10.7109375" style="80" customWidth="1"/>
    <col min="10758" max="10758" width="12.42578125" style="80" customWidth="1"/>
    <col min="10759" max="10785" width="10.7109375" style="80" customWidth="1"/>
    <col min="10786" max="11008" width="8.85546875" style="80"/>
    <col min="11009" max="11009" width="2.7109375" style="80" customWidth="1"/>
    <col min="11010" max="11010" width="36.5703125" style="80" bestFit="1" customWidth="1"/>
    <col min="11011" max="11013" width="10.7109375" style="80" customWidth="1"/>
    <col min="11014" max="11014" width="12.42578125" style="80" customWidth="1"/>
    <col min="11015" max="11041" width="10.7109375" style="80" customWidth="1"/>
    <col min="11042" max="11264" width="8.85546875" style="80"/>
    <col min="11265" max="11265" width="2.7109375" style="80" customWidth="1"/>
    <col min="11266" max="11266" width="36.5703125" style="80" bestFit="1" customWidth="1"/>
    <col min="11267" max="11269" width="10.7109375" style="80" customWidth="1"/>
    <col min="11270" max="11270" width="12.42578125" style="80" customWidth="1"/>
    <col min="11271" max="11297" width="10.7109375" style="80" customWidth="1"/>
    <col min="11298" max="11520" width="8.85546875" style="80"/>
    <col min="11521" max="11521" width="2.7109375" style="80" customWidth="1"/>
    <col min="11522" max="11522" width="36.5703125" style="80" bestFit="1" customWidth="1"/>
    <col min="11523" max="11525" width="10.7109375" style="80" customWidth="1"/>
    <col min="11526" max="11526" width="12.42578125" style="80" customWidth="1"/>
    <col min="11527" max="11553" width="10.7109375" style="80" customWidth="1"/>
    <col min="11554" max="11776" width="8.85546875" style="80"/>
    <col min="11777" max="11777" width="2.7109375" style="80" customWidth="1"/>
    <col min="11778" max="11778" width="36.5703125" style="80" bestFit="1" customWidth="1"/>
    <col min="11779" max="11781" width="10.7109375" style="80" customWidth="1"/>
    <col min="11782" max="11782" width="12.42578125" style="80" customWidth="1"/>
    <col min="11783" max="11809" width="10.7109375" style="80" customWidth="1"/>
    <col min="11810" max="12032" width="8.85546875" style="80"/>
    <col min="12033" max="12033" width="2.7109375" style="80" customWidth="1"/>
    <col min="12034" max="12034" width="36.5703125" style="80" bestFit="1" customWidth="1"/>
    <col min="12035" max="12037" width="10.7109375" style="80" customWidth="1"/>
    <col min="12038" max="12038" width="12.42578125" style="80" customWidth="1"/>
    <col min="12039" max="12065" width="10.7109375" style="80" customWidth="1"/>
    <col min="12066" max="12288" width="8.85546875" style="80"/>
    <col min="12289" max="12289" width="2.7109375" style="80" customWidth="1"/>
    <col min="12290" max="12290" width="36.5703125" style="80" bestFit="1" customWidth="1"/>
    <col min="12291" max="12293" width="10.7109375" style="80" customWidth="1"/>
    <col min="12294" max="12294" width="12.42578125" style="80" customWidth="1"/>
    <col min="12295" max="12321" width="10.7109375" style="80" customWidth="1"/>
    <col min="12322" max="12544" width="8.85546875" style="80"/>
    <col min="12545" max="12545" width="2.7109375" style="80" customWidth="1"/>
    <col min="12546" max="12546" width="36.5703125" style="80" bestFit="1" customWidth="1"/>
    <col min="12547" max="12549" width="10.7109375" style="80" customWidth="1"/>
    <col min="12550" max="12550" width="12.42578125" style="80" customWidth="1"/>
    <col min="12551" max="12577" width="10.7109375" style="80" customWidth="1"/>
    <col min="12578" max="12800" width="8.85546875" style="80"/>
    <col min="12801" max="12801" width="2.7109375" style="80" customWidth="1"/>
    <col min="12802" max="12802" width="36.5703125" style="80" bestFit="1" customWidth="1"/>
    <col min="12803" max="12805" width="10.7109375" style="80" customWidth="1"/>
    <col min="12806" max="12806" width="12.42578125" style="80" customWidth="1"/>
    <col min="12807" max="12833" width="10.7109375" style="80" customWidth="1"/>
    <col min="12834" max="13056" width="8.85546875" style="80"/>
    <col min="13057" max="13057" width="2.7109375" style="80" customWidth="1"/>
    <col min="13058" max="13058" width="36.5703125" style="80" bestFit="1" customWidth="1"/>
    <col min="13059" max="13061" width="10.7109375" style="80" customWidth="1"/>
    <col min="13062" max="13062" width="12.42578125" style="80" customWidth="1"/>
    <col min="13063" max="13089" width="10.7109375" style="80" customWidth="1"/>
    <col min="13090" max="13312" width="8.85546875" style="80"/>
    <col min="13313" max="13313" width="2.7109375" style="80" customWidth="1"/>
    <col min="13314" max="13314" width="36.5703125" style="80" bestFit="1" customWidth="1"/>
    <col min="13315" max="13317" width="10.7109375" style="80" customWidth="1"/>
    <col min="13318" max="13318" width="12.42578125" style="80" customWidth="1"/>
    <col min="13319" max="13345" width="10.7109375" style="80" customWidth="1"/>
    <col min="13346" max="13568" width="8.85546875" style="80"/>
    <col min="13569" max="13569" width="2.7109375" style="80" customWidth="1"/>
    <col min="13570" max="13570" width="36.5703125" style="80" bestFit="1" customWidth="1"/>
    <col min="13571" max="13573" width="10.7109375" style="80" customWidth="1"/>
    <col min="13574" max="13574" width="12.42578125" style="80" customWidth="1"/>
    <col min="13575" max="13601" width="10.7109375" style="80" customWidth="1"/>
    <col min="13602" max="13824" width="8.85546875" style="80"/>
    <col min="13825" max="13825" width="2.7109375" style="80" customWidth="1"/>
    <col min="13826" max="13826" width="36.5703125" style="80" bestFit="1" customWidth="1"/>
    <col min="13827" max="13829" width="10.7109375" style="80" customWidth="1"/>
    <col min="13830" max="13830" width="12.42578125" style="80" customWidth="1"/>
    <col min="13831" max="13857" width="10.7109375" style="80" customWidth="1"/>
    <col min="13858" max="14080" width="8.85546875" style="80"/>
    <col min="14081" max="14081" width="2.7109375" style="80" customWidth="1"/>
    <col min="14082" max="14082" width="36.5703125" style="80" bestFit="1" customWidth="1"/>
    <col min="14083" max="14085" width="10.7109375" style="80" customWidth="1"/>
    <col min="14086" max="14086" width="12.42578125" style="80" customWidth="1"/>
    <col min="14087" max="14113" width="10.7109375" style="80" customWidth="1"/>
    <col min="14114" max="14336" width="8.85546875" style="80"/>
    <col min="14337" max="14337" width="2.7109375" style="80" customWidth="1"/>
    <col min="14338" max="14338" width="36.5703125" style="80" bestFit="1" customWidth="1"/>
    <col min="14339" max="14341" width="10.7109375" style="80" customWidth="1"/>
    <col min="14342" max="14342" width="12.42578125" style="80" customWidth="1"/>
    <col min="14343" max="14369" width="10.7109375" style="80" customWidth="1"/>
    <col min="14370" max="14592" width="8.85546875" style="80"/>
    <col min="14593" max="14593" width="2.7109375" style="80" customWidth="1"/>
    <col min="14594" max="14594" width="36.5703125" style="80" bestFit="1" customWidth="1"/>
    <col min="14595" max="14597" width="10.7109375" style="80" customWidth="1"/>
    <col min="14598" max="14598" width="12.42578125" style="80" customWidth="1"/>
    <col min="14599" max="14625" width="10.7109375" style="80" customWidth="1"/>
    <col min="14626" max="14848" width="8.85546875" style="80"/>
    <col min="14849" max="14849" width="2.7109375" style="80" customWidth="1"/>
    <col min="14850" max="14850" width="36.5703125" style="80" bestFit="1" customWidth="1"/>
    <col min="14851" max="14853" width="10.7109375" style="80" customWidth="1"/>
    <col min="14854" max="14854" width="12.42578125" style="80" customWidth="1"/>
    <col min="14855" max="14881" width="10.7109375" style="80" customWidth="1"/>
    <col min="14882" max="15104" width="8.85546875" style="80"/>
    <col min="15105" max="15105" width="2.7109375" style="80" customWidth="1"/>
    <col min="15106" max="15106" width="36.5703125" style="80" bestFit="1" customWidth="1"/>
    <col min="15107" max="15109" width="10.7109375" style="80" customWidth="1"/>
    <col min="15110" max="15110" width="12.42578125" style="80" customWidth="1"/>
    <col min="15111" max="15137" width="10.7109375" style="80" customWidth="1"/>
    <col min="15138" max="15360" width="8.85546875" style="80"/>
    <col min="15361" max="15361" width="2.7109375" style="80" customWidth="1"/>
    <col min="15362" max="15362" width="36.5703125" style="80" bestFit="1" customWidth="1"/>
    <col min="15363" max="15365" width="10.7109375" style="80" customWidth="1"/>
    <col min="15366" max="15366" width="12.42578125" style="80" customWidth="1"/>
    <col min="15367" max="15393" width="10.7109375" style="80" customWidth="1"/>
    <col min="15394" max="15616" width="8.85546875" style="80"/>
    <col min="15617" max="15617" width="2.7109375" style="80" customWidth="1"/>
    <col min="15618" max="15618" width="36.5703125" style="80" bestFit="1" customWidth="1"/>
    <col min="15619" max="15621" width="10.7109375" style="80" customWidth="1"/>
    <col min="15622" max="15622" width="12.42578125" style="80" customWidth="1"/>
    <col min="15623" max="15649" width="10.7109375" style="80" customWidth="1"/>
    <col min="15650" max="15872" width="8.85546875" style="80"/>
    <col min="15873" max="15873" width="2.7109375" style="80" customWidth="1"/>
    <col min="15874" max="15874" width="36.5703125" style="80" bestFit="1" customWidth="1"/>
    <col min="15875" max="15877" width="10.7109375" style="80" customWidth="1"/>
    <col min="15878" max="15878" width="12.42578125" style="80" customWidth="1"/>
    <col min="15879" max="15905" width="10.7109375" style="80" customWidth="1"/>
    <col min="15906" max="16128" width="8.85546875" style="80"/>
    <col min="16129" max="16129" width="2.7109375" style="80" customWidth="1"/>
    <col min="16130" max="16130" width="36.5703125" style="80" bestFit="1" customWidth="1"/>
    <col min="16131" max="16133" width="10.7109375" style="80" customWidth="1"/>
    <col min="16134" max="16134" width="12.42578125" style="80" customWidth="1"/>
    <col min="16135" max="16161" width="10.7109375" style="80" customWidth="1"/>
    <col min="16162" max="16384" width="8.85546875" style="80"/>
  </cols>
  <sheetData>
    <row r="1" spans="1:37" ht="22.5" customHeight="1" x14ac:dyDescent="0.3">
      <c r="A1" s="74" t="s">
        <v>182</v>
      </c>
    </row>
    <row r="2" spans="1:37" ht="15.6" customHeight="1" x14ac:dyDescent="0.25">
      <c r="A2" s="124"/>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row>
    <row r="3" spans="1:37" ht="21.6" customHeight="1" x14ac:dyDescent="0.25">
      <c r="B3" s="126" t="s">
        <v>183</v>
      </c>
      <c r="C3" s="127">
        <v>0</v>
      </c>
      <c r="D3" s="127">
        <f>C3+1</f>
        <v>1</v>
      </c>
      <c r="E3" s="127">
        <f t="shared" ref="E3:AG3" si="0">D3+1</f>
        <v>2</v>
      </c>
      <c r="F3" s="127">
        <f t="shared" si="0"/>
        <v>3</v>
      </c>
      <c r="G3" s="127">
        <f t="shared" si="0"/>
        <v>4</v>
      </c>
      <c r="H3" s="127">
        <f t="shared" si="0"/>
        <v>5</v>
      </c>
      <c r="I3" s="127">
        <f t="shared" si="0"/>
        <v>6</v>
      </c>
      <c r="J3" s="127">
        <f t="shared" si="0"/>
        <v>7</v>
      </c>
      <c r="K3" s="127">
        <f t="shared" si="0"/>
        <v>8</v>
      </c>
      <c r="L3" s="127">
        <f t="shared" si="0"/>
        <v>9</v>
      </c>
      <c r="M3" s="127">
        <f t="shared" si="0"/>
        <v>10</v>
      </c>
      <c r="N3" s="127">
        <f t="shared" si="0"/>
        <v>11</v>
      </c>
      <c r="O3" s="127">
        <f t="shared" si="0"/>
        <v>12</v>
      </c>
      <c r="P3" s="127">
        <f t="shared" si="0"/>
        <v>13</v>
      </c>
      <c r="Q3" s="127">
        <f t="shared" si="0"/>
        <v>14</v>
      </c>
      <c r="R3" s="127">
        <f t="shared" si="0"/>
        <v>15</v>
      </c>
      <c r="S3" s="127">
        <f t="shared" si="0"/>
        <v>16</v>
      </c>
      <c r="T3" s="127">
        <f t="shared" si="0"/>
        <v>17</v>
      </c>
      <c r="U3" s="127">
        <f t="shared" si="0"/>
        <v>18</v>
      </c>
      <c r="V3" s="127">
        <f t="shared" si="0"/>
        <v>19</v>
      </c>
      <c r="W3" s="127">
        <f t="shared" si="0"/>
        <v>20</v>
      </c>
      <c r="X3" s="127">
        <f t="shared" si="0"/>
        <v>21</v>
      </c>
      <c r="Y3" s="127">
        <f t="shared" si="0"/>
        <v>22</v>
      </c>
      <c r="Z3" s="127">
        <f t="shared" si="0"/>
        <v>23</v>
      </c>
      <c r="AA3" s="127">
        <f t="shared" si="0"/>
        <v>24</v>
      </c>
      <c r="AB3" s="127">
        <f t="shared" si="0"/>
        <v>25</v>
      </c>
      <c r="AC3" s="127">
        <f t="shared" si="0"/>
        <v>26</v>
      </c>
      <c r="AD3" s="127">
        <f t="shared" si="0"/>
        <v>27</v>
      </c>
      <c r="AE3" s="127">
        <f t="shared" si="0"/>
        <v>28</v>
      </c>
      <c r="AF3" s="127">
        <f t="shared" si="0"/>
        <v>29</v>
      </c>
      <c r="AG3" s="128">
        <f t="shared" si="0"/>
        <v>30</v>
      </c>
      <c r="AH3" s="125"/>
      <c r="AI3" s="125"/>
      <c r="AJ3" s="125"/>
      <c r="AK3" s="125"/>
    </row>
    <row r="4" spans="1:37" ht="15.75" x14ac:dyDescent="0.25">
      <c r="B4" s="129" t="s">
        <v>184</v>
      </c>
      <c r="C4" s="130">
        <v>0</v>
      </c>
      <c r="D4" s="130">
        <v>2</v>
      </c>
      <c r="E4" s="130">
        <v>5</v>
      </c>
      <c r="F4" s="130">
        <v>19</v>
      </c>
      <c r="G4" s="130">
        <v>41</v>
      </c>
      <c r="H4" s="130">
        <v>68</v>
      </c>
      <c r="I4" s="130">
        <v>98</v>
      </c>
      <c r="J4" s="130">
        <v>128</v>
      </c>
      <c r="K4" s="130">
        <v>159</v>
      </c>
      <c r="L4" s="130">
        <v>188</v>
      </c>
      <c r="M4" s="130">
        <v>217</v>
      </c>
      <c r="N4" s="130">
        <v>244</v>
      </c>
      <c r="O4" s="130">
        <v>269</v>
      </c>
      <c r="P4" s="130">
        <v>293</v>
      </c>
      <c r="Q4" s="130">
        <v>316</v>
      </c>
      <c r="R4" s="130">
        <v>333</v>
      </c>
      <c r="S4" s="130">
        <v>356</v>
      </c>
      <c r="T4" s="130">
        <v>374</v>
      </c>
      <c r="U4" s="130">
        <v>391</v>
      </c>
      <c r="V4" s="130">
        <v>407</v>
      </c>
      <c r="W4" s="130">
        <v>422</v>
      </c>
      <c r="X4" s="130">
        <v>436</v>
      </c>
      <c r="Y4" s="130">
        <v>449</v>
      </c>
      <c r="Z4" s="130">
        <v>461</v>
      </c>
      <c r="AA4" s="130">
        <v>472</v>
      </c>
      <c r="AB4" s="130">
        <v>482</v>
      </c>
      <c r="AC4" s="130">
        <v>492</v>
      </c>
      <c r="AD4" s="130">
        <v>502</v>
      </c>
      <c r="AE4" s="130">
        <v>510</v>
      </c>
      <c r="AF4" s="130">
        <v>518</v>
      </c>
      <c r="AG4" s="130">
        <v>526</v>
      </c>
      <c r="AH4" s="125"/>
      <c r="AI4" s="125"/>
      <c r="AJ4" s="125"/>
      <c r="AK4" s="125"/>
    </row>
    <row r="5" spans="1:37" ht="15.75" x14ac:dyDescent="0.25">
      <c r="B5" s="129" t="s">
        <v>185</v>
      </c>
      <c r="C5" s="130">
        <v>0</v>
      </c>
      <c r="D5" s="130">
        <v>0</v>
      </c>
      <c r="E5" s="130">
        <v>1</v>
      </c>
      <c r="F5" s="130">
        <v>5</v>
      </c>
      <c r="G5" s="130">
        <v>16</v>
      </c>
      <c r="H5" s="130">
        <v>32</v>
      </c>
      <c r="I5" s="130">
        <v>52</v>
      </c>
      <c r="J5" s="130">
        <v>75</v>
      </c>
      <c r="K5" s="130">
        <v>98</v>
      </c>
      <c r="L5" s="130">
        <v>122</v>
      </c>
      <c r="M5" s="130">
        <v>146</v>
      </c>
      <c r="N5" s="130">
        <v>169</v>
      </c>
      <c r="O5" s="130">
        <v>191</v>
      </c>
      <c r="P5" s="130">
        <v>213</v>
      </c>
      <c r="Q5" s="130">
        <v>234</v>
      </c>
      <c r="R5" s="130">
        <v>254</v>
      </c>
      <c r="S5" s="130">
        <v>272</v>
      </c>
      <c r="T5" s="130">
        <v>290</v>
      </c>
      <c r="U5" s="130">
        <v>306</v>
      </c>
      <c r="V5" s="130">
        <v>322</v>
      </c>
      <c r="W5" s="130">
        <v>337</v>
      </c>
      <c r="X5" s="130">
        <v>351</v>
      </c>
      <c r="Y5" s="130">
        <v>364</v>
      </c>
      <c r="Z5" s="130">
        <v>377</v>
      </c>
      <c r="AA5" s="130">
        <v>388</v>
      </c>
      <c r="AB5" s="130">
        <v>399</v>
      </c>
      <c r="AC5" s="130">
        <v>410</v>
      </c>
      <c r="AD5" s="130">
        <v>420</v>
      </c>
      <c r="AE5" s="130">
        <v>430</v>
      </c>
      <c r="AF5" s="130">
        <v>439</v>
      </c>
      <c r="AG5" s="130">
        <v>447</v>
      </c>
      <c r="AH5" s="125"/>
      <c r="AI5" s="125"/>
      <c r="AJ5" s="125"/>
      <c r="AK5" s="125"/>
    </row>
    <row r="6" spans="1:37" ht="15.75" x14ac:dyDescent="0.25">
      <c r="B6" s="129" t="s">
        <v>186</v>
      </c>
      <c r="C6" s="130">
        <v>0</v>
      </c>
      <c r="D6" s="130">
        <v>0</v>
      </c>
      <c r="E6" s="130">
        <v>1</v>
      </c>
      <c r="F6" s="130">
        <v>5</v>
      </c>
      <c r="G6" s="130">
        <v>10</v>
      </c>
      <c r="H6" s="130">
        <v>19</v>
      </c>
      <c r="I6" s="130">
        <v>29</v>
      </c>
      <c r="J6" s="130">
        <v>41</v>
      </c>
      <c r="K6" s="130">
        <v>54</v>
      </c>
      <c r="L6" s="130">
        <v>68</v>
      </c>
      <c r="M6" s="130">
        <v>83</v>
      </c>
      <c r="N6" s="130">
        <v>99</v>
      </c>
      <c r="O6" s="130">
        <v>115</v>
      </c>
      <c r="P6" s="130">
        <v>131</v>
      </c>
      <c r="Q6" s="130">
        <v>147</v>
      </c>
      <c r="R6" s="130">
        <v>163</v>
      </c>
      <c r="S6" s="130">
        <v>179</v>
      </c>
      <c r="T6" s="130">
        <v>196</v>
      </c>
      <c r="U6" s="130">
        <v>211</v>
      </c>
      <c r="V6" s="130">
        <v>227</v>
      </c>
      <c r="W6" s="130">
        <v>242</v>
      </c>
      <c r="X6" s="130">
        <v>258</v>
      </c>
      <c r="Y6" s="130">
        <v>273</v>
      </c>
      <c r="Z6" s="130">
        <v>287</v>
      </c>
      <c r="AA6" s="130">
        <v>301</v>
      </c>
      <c r="AB6" s="130">
        <v>316</v>
      </c>
      <c r="AC6" s="130">
        <v>329</v>
      </c>
      <c r="AD6" s="130">
        <v>343</v>
      </c>
      <c r="AE6" s="130">
        <v>356</v>
      </c>
      <c r="AF6" s="130">
        <v>369</v>
      </c>
      <c r="AG6" s="130">
        <v>382</v>
      </c>
      <c r="AH6" s="125"/>
      <c r="AI6" s="125"/>
      <c r="AJ6" s="125"/>
      <c r="AK6" s="125"/>
    </row>
    <row r="7" spans="1:37" ht="15.75" x14ac:dyDescent="0.25">
      <c r="B7" s="129" t="s">
        <v>187</v>
      </c>
      <c r="C7" s="130">
        <v>0</v>
      </c>
      <c r="D7" s="130">
        <v>0</v>
      </c>
      <c r="E7" s="130">
        <v>0</v>
      </c>
      <c r="F7" s="130">
        <v>0</v>
      </c>
      <c r="G7" s="130">
        <v>1</v>
      </c>
      <c r="H7" s="130">
        <v>3</v>
      </c>
      <c r="I7" s="130">
        <v>6</v>
      </c>
      <c r="J7" s="130">
        <v>10</v>
      </c>
      <c r="K7" s="130">
        <v>16</v>
      </c>
      <c r="L7" s="130">
        <v>23</v>
      </c>
      <c r="M7" s="130">
        <v>32</v>
      </c>
      <c r="N7" s="130">
        <v>42</v>
      </c>
      <c r="O7" s="130">
        <v>53</v>
      </c>
      <c r="P7" s="130">
        <v>65</v>
      </c>
      <c r="Q7" s="130">
        <v>78</v>
      </c>
      <c r="R7" s="130">
        <v>91</v>
      </c>
      <c r="S7" s="130">
        <v>104</v>
      </c>
      <c r="T7" s="130">
        <v>118</v>
      </c>
      <c r="U7" s="130">
        <v>132</v>
      </c>
      <c r="V7" s="130">
        <v>146</v>
      </c>
      <c r="W7" s="130">
        <v>159</v>
      </c>
      <c r="X7" s="130">
        <v>173</v>
      </c>
      <c r="Y7" s="130">
        <v>187</v>
      </c>
      <c r="Z7" s="130">
        <v>201</v>
      </c>
      <c r="AA7" s="130">
        <v>214</v>
      </c>
      <c r="AB7" s="130">
        <v>228</v>
      </c>
      <c r="AC7" s="130">
        <v>241</v>
      </c>
      <c r="AD7" s="130">
        <v>254</v>
      </c>
      <c r="AE7" s="130">
        <v>267</v>
      </c>
      <c r="AF7" s="130">
        <v>279</v>
      </c>
      <c r="AG7" s="130">
        <v>291</v>
      </c>
      <c r="AH7" s="125"/>
      <c r="AI7" s="125"/>
      <c r="AJ7" s="125"/>
      <c r="AK7" s="125"/>
    </row>
    <row r="8" spans="1:37" ht="15.75" x14ac:dyDescent="0.25">
      <c r="B8" s="131" t="s">
        <v>188</v>
      </c>
      <c r="C8" s="132">
        <v>0</v>
      </c>
      <c r="D8" s="132">
        <v>0</v>
      </c>
      <c r="E8" s="132">
        <v>0</v>
      </c>
      <c r="F8" s="132">
        <v>0</v>
      </c>
      <c r="G8" s="132">
        <v>1</v>
      </c>
      <c r="H8" s="132">
        <v>2</v>
      </c>
      <c r="I8" s="132">
        <v>4</v>
      </c>
      <c r="J8" s="132">
        <v>7</v>
      </c>
      <c r="K8" s="132">
        <v>11</v>
      </c>
      <c r="L8" s="132">
        <v>16</v>
      </c>
      <c r="M8" s="132">
        <v>21</v>
      </c>
      <c r="N8" s="132">
        <v>28</v>
      </c>
      <c r="O8" s="132">
        <v>35</v>
      </c>
      <c r="P8" s="132">
        <v>43</v>
      </c>
      <c r="Q8" s="132">
        <v>52</v>
      </c>
      <c r="R8" s="132">
        <v>60</v>
      </c>
      <c r="S8" s="132">
        <v>69</v>
      </c>
      <c r="T8" s="132">
        <v>78</v>
      </c>
      <c r="U8" s="132">
        <v>87</v>
      </c>
      <c r="V8" s="132">
        <v>97</v>
      </c>
      <c r="W8" s="132">
        <v>106</v>
      </c>
      <c r="X8" s="132">
        <v>115</v>
      </c>
      <c r="Y8" s="132">
        <v>124</v>
      </c>
      <c r="Z8" s="132">
        <v>133</v>
      </c>
      <c r="AA8" s="132">
        <v>142</v>
      </c>
      <c r="AB8" s="132">
        <v>151</v>
      </c>
      <c r="AC8" s="132">
        <v>160</v>
      </c>
      <c r="AD8" s="132">
        <v>168</v>
      </c>
      <c r="AE8" s="132">
        <v>177</v>
      </c>
      <c r="AF8" s="132">
        <v>185</v>
      </c>
      <c r="AG8" s="132">
        <v>193</v>
      </c>
      <c r="AH8" s="125"/>
      <c r="AI8" s="125"/>
      <c r="AJ8" s="125"/>
      <c r="AK8" s="125"/>
    </row>
    <row r="9" spans="1:37" ht="15.75" x14ac:dyDescent="0.25">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row>
    <row r="10" spans="1:37" ht="15.75" x14ac:dyDescent="0.25">
      <c r="B10" s="139"/>
      <c r="C10" s="133" t="s">
        <v>48</v>
      </c>
      <c r="D10" s="133" t="s">
        <v>189</v>
      </c>
      <c r="E10" s="133" t="s">
        <v>190</v>
      </c>
      <c r="F10" s="133" t="s">
        <v>191</v>
      </c>
      <c r="G10" s="133" t="s">
        <v>192</v>
      </c>
      <c r="H10" s="133" t="s">
        <v>189</v>
      </c>
      <c r="I10" s="140" t="s">
        <v>190</v>
      </c>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row>
    <row r="11" spans="1:37" ht="15.75" x14ac:dyDescent="0.25">
      <c r="B11" s="141"/>
      <c r="C11" s="131" t="s">
        <v>193</v>
      </c>
      <c r="D11" s="325" t="s">
        <v>194</v>
      </c>
      <c r="E11" s="325"/>
      <c r="F11" s="142" t="s">
        <v>195</v>
      </c>
      <c r="G11" s="142"/>
      <c r="H11" s="325" t="s">
        <v>196</v>
      </c>
      <c r="I11" s="326"/>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row>
    <row r="12" spans="1:37" ht="15.75" x14ac:dyDescent="0.25">
      <c r="A12" s="80">
        <v>1</v>
      </c>
      <c r="B12" s="129" t="s">
        <v>197</v>
      </c>
      <c r="C12" s="129">
        <v>600</v>
      </c>
      <c r="D12" s="129">
        <v>15</v>
      </c>
      <c r="E12" s="129">
        <v>30</v>
      </c>
      <c r="F12" s="129">
        <v>0.43</v>
      </c>
      <c r="G12" s="134">
        <v>0.5</v>
      </c>
      <c r="H12" s="135">
        <f>D12*F12*G12*3.7</f>
        <v>11.932500000000001</v>
      </c>
      <c r="I12" s="135">
        <f>E12*F12*G12*3.7</f>
        <v>23.865000000000002</v>
      </c>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row>
    <row r="13" spans="1:37" ht="15.75" x14ac:dyDescent="0.25">
      <c r="A13" s="80">
        <f>A12+1</f>
        <v>2</v>
      </c>
      <c r="B13" s="130" t="s">
        <v>198</v>
      </c>
      <c r="C13" s="130">
        <v>600</v>
      </c>
      <c r="D13" s="130">
        <v>15</v>
      </c>
      <c r="E13" s="130">
        <v>30</v>
      </c>
      <c r="F13" s="130">
        <v>0.43</v>
      </c>
      <c r="G13" s="136">
        <v>0.5</v>
      </c>
      <c r="H13" s="137">
        <f>D13*F13*G13*3.7</f>
        <v>11.932500000000001</v>
      </c>
      <c r="I13" s="137">
        <f>E13*F13*G13*3.7</f>
        <v>23.865000000000002</v>
      </c>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row>
    <row r="14" spans="1:37" ht="15.75" x14ac:dyDescent="0.25">
      <c r="A14" s="80">
        <f t="shared" ref="A14:A25" si="1">A13+1</f>
        <v>3</v>
      </c>
      <c r="B14" s="129" t="s">
        <v>199</v>
      </c>
      <c r="C14" s="129">
        <f t="shared" ref="C14:I14" si="2">AVERAGE(C15:C18)</f>
        <v>775</v>
      </c>
      <c r="D14" s="129">
        <f t="shared" si="2"/>
        <v>15</v>
      </c>
      <c r="E14" s="129">
        <f t="shared" si="2"/>
        <v>32.5</v>
      </c>
      <c r="F14" s="129">
        <f t="shared" si="2"/>
        <v>0.63</v>
      </c>
      <c r="G14" s="129">
        <f t="shared" si="2"/>
        <v>0.5</v>
      </c>
      <c r="H14" s="129">
        <f t="shared" si="2"/>
        <v>17.482499999999998</v>
      </c>
      <c r="I14" s="129">
        <f t="shared" si="2"/>
        <v>37.878750000000004</v>
      </c>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row>
    <row r="15" spans="1:37" ht="15.75" x14ac:dyDescent="0.25">
      <c r="A15" s="80">
        <f t="shared" si="1"/>
        <v>4</v>
      </c>
      <c r="B15" s="130" t="s">
        <v>200</v>
      </c>
      <c r="C15" s="130">
        <v>700</v>
      </c>
      <c r="D15" s="130">
        <v>15</v>
      </c>
      <c r="E15" s="130">
        <v>35</v>
      </c>
      <c r="F15" s="130">
        <v>0.63</v>
      </c>
      <c r="G15" s="136">
        <v>0.5</v>
      </c>
      <c r="H15" s="137">
        <f>D15*F15*G15*3.7</f>
        <v>17.482499999999998</v>
      </c>
      <c r="I15" s="137">
        <f>E15*F15*G15*3.7</f>
        <v>40.792500000000004</v>
      </c>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row>
    <row r="16" spans="1:37" ht="15.75" x14ac:dyDescent="0.25">
      <c r="A16" s="80">
        <f t="shared" si="1"/>
        <v>5</v>
      </c>
      <c r="B16" s="130" t="s">
        <v>201</v>
      </c>
      <c r="C16" s="130">
        <v>800</v>
      </c>
      <c r="D16" s="130">
        <v>15</v>
      </c>
      <c r="E16" s="130">
        <v>35</v>
      </c>
      <c r="F16" s="130">
        <v>0.63</v>
      </c>
      <c r="G16" s="136">
        <v>0.5</v>
      </c>
      <c r="H16" s="137">
        <f>D16*F16*G16*3.7</f>
        <v>17.482499999999998</v>
      </c>
      <c r="I16" s="137">
        <f>E16*F16*G16*3.7</f>
        <v>40.792500000000004</v>
      </c>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row>
    <row r="17" spans="1:37" ht="15.75" x14ac:dyDescent="0.25">
      <c r="A17" s="80">
        <f t="shared" si="1"/>
        <v>6</v>
      </c>
      <c r="B17" s="130" t="s">
        <v>202</v>
      </c>
      <c r="C17" s="130">
        <v>800</v>
      </c>
      <c r="D17" s="130">
        <v>15</v>
      </c>
      <c r="E17" s="130">
        <v>30</v>
      </c>
      <c r="F17" s="130">
        <v>0.63</v>
      </c>
      <c r="G17" s="136">
        <v>0.5</v>
      </c>
      <c r="H17" s="137">
        <f>D17*F17*G17*3.7</f>
        <v>17.482499999999998</v>
      </c>
      <c r="I17" s="137">
        <f>E17*F17*G17*3.7</f>
        <v>34.964999999999996</v>
      </c>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row>
    <row r="18" spans="1:37" ht="15.75" x14ac:dyDescent="0.25">
      <c r="A18" s="80">
        <f t="shared" si="1"/>
        <v>7</v>
      </c>
      <c r="B18" s="130" t="s">
        <v>203</v>
      </c>
      <c r="C18" s="130">
        <v>800</v>
      </c>
      <c r="D18" s="130">
        <v>15</v>
      </c>
      <c r="E18" s="130">
        <v>30</v>
      </c>
      <c r="F18" s="130">
        <v>0.63</v>
      </c>
      <c r="G18" s="136">
        <v>0.5</v>
      </c>
      <c r="H18" s="137">
        <f>D18*F18*G18*3.7</f>
        <v>17.482499999999998</v>
      </c>
      <c r="I18" s="137">
        <f>E18*F18*G18*3.7</f>
        <v>34.964999999999996</v>
      </c>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row>
    <row r="19" spans="1:37" ht="15.75" x14ac:dyDescent="0.25">
      <c r="A19" s="80">
        <f t="shared" si="1"/>
        <v>8</v>
      </c>
      <c r="B19" s="130" t="s">
        <v>204</v>
      </c>
      <c r="C19" s="130">
        <v>600</v>
      </c>
      <c r="D19" s="130">
        <v>8</v>
      </c>
      <c r="E19" s="130">
        <v>20</v>
      </c>
      <c r="F19" s="130">
        <v>0.63</v>
      </c>
      <c r="G19" s="136">
        <v>0.5</v>
      </c>
      <c r="H19" s="137">
        <f>D19*F19*G19*3.7</f>
        <v>9.3239999999999998</v>
      </c>
      <c r="I19" s="137">
        <f>E19*F19*G19*3.7</f>
        <v>23.31</v>
      </c>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row>
    <row r="20" spans="1:37" ht="15.75" x14ac:dyDescent="0.25">
      <c r="A20" s="80">
        <f t="shared" si="1"/>
        <v>9</v>
      </c>
      <c r="B20" s="129" t="s">
        <v>205</v>
      </c>
      <c r="C20" s="129">
        <f t="shared" ref="C20:I20" si="3">AVERAGE(C21:C25)</f>
        <v>530</v>
      </c>
      <c r="D20" s="129">
        <f t="shared" si="3"/>
        <v>3</v>
      </c>
      <c r="E20" s="129">
        <f t="shared" si="3"/>
        <v>8.8000000000000007</v>
      </c>
      <c r="F20" s="129">
        <f t="shared" si="3"/>
        <v>0.63</v>
      </c>
      <c r="G20" s="129">
        <f t="shared" si="3"/>
        <v>0.5</v>
      </c>
      <c r="H20" s="129">
        <f t="shared" si="3"/>
        <v>3.4964999999999997</v>
      </c>
      <c r="I20" s="129">
        <f t="shared" si="3"/>
        <v>10.256399999999999</v>
      </c>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row>
    <row r="21" spans="1:37" ht="15.75" x14ac:dyDescent="0.25">
      <c r="A21" s="80">
        <f t="shared" si="1"/>
        <v>10</v>
      </c>
      <c r="B21" s="130" t="s">
        <v>206</v>
      </c>
      <c r="C21" s="130">
        <v>750</v>
      </c>
      <c r="D21" s="130">
        <v>4</v>
      </c>
      <c r="E21" s="130">
        <v>10</v>
      </c>
      <c r="F21" s="130">
        <v>0.63</v>
      </c>
      <c r="G21" s="136">
        <v>0.5</v>
      </c>
      <c r="H21" s="137">
        <f>D21*F21*G21*3.7</f>
        <v>4.6619999999999999</v>
      </c>
      <c r="I21" s="137">
        <f>E21*F21*G21*3.7</f>
        <v>11.654999999999999</v>
      </c>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row>
    <row r="22" spans="1:37" ht="15.75" x14ac:dyDescent="0.25">
      <c r="A22" s="80">
        <f t="shared" si="1"/>
        <v>11</v>
      </c>
      <c r="B22" s="130" t="s">
        <v>207</v>
      </c>
      <c r="C22" s="130">
        <v>500</v>
      </c>
      <c r="D22" s="130">
        <v>5</v>
      </c>
      <c r="E22" s="130">
        <v>10</v>
      </c>
      <c r="F22" s="130">
        <v>0.63</v>
      </c>
      <c r="G22" s="136">
        <v>0.5</v>
      </c>
      <c r="H22" s="137">
        <f>D22*F22*G22*3.7</f>
        <v>5.8274999999999997</v>
      </c>
      <c r="I22" s="137">
        <f>E22*F22*G22*3.7</f>
        <v>11.654999999999999</v>
      </c>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row>
    <row r="23" spans="1:37" ht="15.75" x14ac:dyDescent="0.25">
      <c r="A23" s="80">
        <f t="shared" si="1"/>
        <v>12</v>
      </c>
      <c r="B23" s="130" t="s">
        <v>208</v>
      </c>
      <c r="C23" s="130">
        <v>500</v>
      </c>
      <c r="D23" s="130">
        <v>2</v>
      </c>
      <c r="E23" s="130">
        <v>8</v>
      </c>
      <c r="F23" s="130">
        <v>0.63</v>
      </c>
      <c r="G23" s="136">
        <v>0.5</v>
      </c>
      <c r="H23" s="137">
        <f>D23*F23*G23*3.7</f>
        <v>2.331</v>
      </c>
      <c r="I23" s="137">
        <f>E23*F23*G23*3.7</f>
        <v>9.3239999999999998</v>
      </c>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row>
    <row r="24" spans="1:37" ht="15.75" x14ac:dyDescent="0.25">
      <c r="A24" s="80">
        <f t="shared" si="1"/>
        <v>13</v>
      </c>
      <c r="B24" s="130" t="s">
        <v>209</v>
      </c>
      <c r="C24" s="130">
        <v>400</v>
      </c>
      <c r="D24" s="130">
        <v>2</v>
      </c>
      <c r="E24" s="130">
        <v>8</v>
      </c>
      <c r="F24" s="130">
        <v>0.63</v>
      </c>
      <c r="G24" s="136">
        <v>0.5</v>
      </c>
      <c r="H24" s="137">
        <f>D24*F24*G24*3.7</f>
        <v>2.331</v>
      </c>
      <c r="I24" s="137">
        <f>E24*F24*G24*3.7</f>
        <v>9.3239999999999998</v>
      </c>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row>
    <row r="25" spans="1:37" ht="15.75" x14ac:dyDescent="0.25">
      <c r="A25" s="80">
        <f t="shared" si="1"/>
        <v>14</v>
      </c>
      <c r="B25" s="130" t="s">
        <v>210</v>
      </c>
      <c r="C25" s="130">
        <v>500</v>
      </c>
      <c r="D25" s="130">
        <v>2</v>
      </c>
      <c r="E25" s="130">
        <v>8</v>
      </c>
      <c r="F25" s="130">
        <v>0.63</v>
      </c>
      <c r="G25" s="136">
        <v>0.5</v>
      </c>
      <c r="H25" s="137">
        <f>D25*F25*G25*3.7</f>
        <v>2.331</v>
      </c>
      <c r="I25" s="137">
        <f>E25*F25*G25*3.7</f>
        <v>9.3239999999999998</v>
      </c>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row>
    <row r="26" spans="1:37" ht="15.75" x14ac:dyDescent="0.25">
      <c r="B26" s="130"/>
      <c r="C26" s="130"/>
      <c r="D26" s="130"/>
      <c r="E26" s="130"/>
      <c r="F26" s="130"/>
      <c r="G26" s="130"/>
      <c r="H26" s="130"/>
      <c r="I26" s="130"/>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row>
    <row r="27" spans="1:37" ht="15.75" x14ac:dyDescent="0.25">
      <c r="B27" s="130" t="s">
        <v>211</v>
      </c>
      <c r="C27" s="130" t="s">
        <v>196</v>
      </c>
      <c r="D27" s="130"/>
      <c r="E27" s="327" t="s">
        <v>212</v>
      </c>
      <c r="F27" s="327"/>
      <c r="G27" s="130"/>
      <c r="H27" s="130"/>
      <c r="I27" s="130"/>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row>
    <row r="28" spans="1:37" ht="15.75" x14ac:dyDescent="0.25">
      <c r="A28" s="80">
        <v>1</v>
      </c>
      <c r="B28" s="130" t="s">
        <v>213</v>
      </c>
      <c r="C28" s="130" t="b">
        <f>IF('Data input'!J25=1,Trees!F28)</f>
        <v>0</v>
      </c>
      <c r="D28" s="130"/>
      <c r="E28" s="130">
        <f>VLOOKUP('Data summary'!C25,Trees!A12:I25,8,FALSE)</f>
        <v>17.482499999999998</v>
      </c>
      <c r="F28" s="130">
        <f>VLOOKUP('Data summary'!C27,Trees!A12:I25,9,FALSE)</f>
        <v>23.865000000000002</v>
      </c>
      <c r="G28" s="130"/>
      <c r="H28" s="130"/>
      <c r="I28" s="130"/>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row>
    <row r="29" spans="1:37" ht="15.75" x14ac:dyDescent="0.25">
      <c r="A29" s="80">
        <v>2</v>
      </c>
      <c r="B29" s="130" t="s">
        <v>214</v>
      </c>
      <c r="C29" s="130" t="b">
        <f>IF('Data input'!J25=2,AVERAGE(Trees!E28,Trees!F28))</f>
        <v>0</v>
      </c>
      <c r="D29" s="130"/>
      <c r="E29" s="130"/>
      <c r="F29" s="129">
        <f>AVERAGE(C28:C30)</f>
        <v>17.482499999999998</v>
      </c>
      <c r="G29" s="130"/>
      <c r="H29" s="130"/>
      <c r="I29" s="130"/>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row>
    <row r="30" spans="1:37" ht="15.75" x14ac:dyDescent="0.25">
      <c r="A30" s="80">
        <v>3</v>
      </c>
      <c r="B30" s="132" t="s">
        <v>215</v>
      </c>
      <c r="C30" s="132">
        <f>IF('Data input'!J25=3,Trees!E28)</f>
        <v>17.482499999999998</v>
      </c>
      <c r="D30" s="132"/>
      <c r="E30" s="132"/>
      <c r="F30" s="132"/>
      <c r="G30" s="132"/>
      <c r="H30" s="132"/>
      <c r="I30" s="132"/>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row>
    <row r="31" spans="1:37" ht="22.5" customHeight="1" x14ac:dyDescent="0.25">
      <c r="B31" s="138"/>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row>
  </sheetData>
  <sheetProtection sheet="1" objects="1" scenarios="1"/>
  <mergeCells count="3">
    <mergeCell ref="D11:E11"/>
    <mergeCell ref="H11:I11"/>
    <mergeCell ref="E27:F2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6"/>
  <sheetViews>
    <sheetView showGridLines="0" zoomScale="80" zoomScaleNormal="80" workbookViewId="0"/>
  </sheetViews>
  <sheetFormatPr defaultRowHeight="15.75" x14ac:dyDescent="0.25"/>
  <cols>
    <col min="1" max="1" width="3.7109375" style="80" customWidth="1"/>
    <col min="2" max="2" width="38.5703125" style="80" customWidth="1"/>
    <col min="3" max="3" width="13.28515625" style="80" customWidth="1"/>
    <col min="4" max="4" width="12.85546875" style="80" customWidth="1"/>
    <col min="5" max="5" width="11.42578125" style="80" customWidth="1"/>
    <col min="6" max="6" width="9.7109375" style="80" bestFit="1" customWidth="1"/>
    <col min="7" max="7" width="9.7109375" style="80" customWidth="1"/>
    <col min="8" max="8" width="9.85546875" style="80" customWidth="1"/>
    <col min="9" max="9" width="12" style="80" bestFit="1" customWidth="1"/>
    <col min="10" max="10" width="12" style="80" customWidth="1"/>
    <col min="11" max="11" width="8.85546875" style="80"/>
    <col min="12" max="12" width="10.7109375" style="80" customWidth="1"/>
    <col min="13" max="256" width="8.85546875" style="80"/>
    <col min="257" max="257" width="3.7109375" style="80" customWidth="1"/>
    <col min="258" max="258" width="38.5703125" style="80" customWidth="1"/>
    <col min="259" max="259" width="13.28515625" style="80" customWidth="1"/>
    <col min="260" max="260" width="12.85546875" style="80" customWidth="1"/>
    <col min="261" max="261" width="11.42578125" style="80" customWidth="1"/>
    <col min="262" max="262" width="9.7109375" style="80" bestFit="1" customWidth="1"/>
    <col min="263" max="263" width="9.7109375" style="80" customWidth="1"/>
    <col min="264" max="264" width="9.85546875" style="80" customWidth="1"/>
    <col min="265" max="265" width="12" style="80" bestFit="1" customWidth="1"/>
    <col min="266" max="266" width="12" style="80" customWidth="1"/>
    <col min="267" max="267" width="8.85546875" style="80"/>
    <col min="268" max="268" width="10.7109375" style="80" customWidth="1"/>
    <col min="269" max="512" width="8.85546875" style="80"/>
    <col min="513" max="513" width="3.7109375" style="80" customWidth="1"/>
    <col min="514" max="514" width="38.5703125" style="80" customWidth="1"/>
    <col min="515" max="515" width="13.28515625" style="80" customWidth="1"/>
    <col min="516" max="516" width="12.85546875" style="80" customWidth="1"/>
    <col min="517" max="517" width="11.42578125" style="80" customWidth="1"/>
    <col min="518" max="518" width="9.7109375" style="80" bestFit="1" customWidth="1"/>
    <col min="519" max="519" width="9.7109375" style="80" customWidth="1"/>
    <col min="520" max="520" width="9.85546875" style="80" customWidth="1"/>
    <col min="521" max="521" width="12" style="80" bestFit="1" customWidth="1"/>
    <col min="522" max="522" width="12" style="80" customWidth="1"/>
    <col min="523" max="523" width="8.85546875" style="80"/>
    <col min="524" max="524" width="10.7109375" style="80" customWidth="1"/>
    <col min="525" max="768" width="8.85546875" style="80"/>
    <col min="769" max="769" width="3.7109375" style="80" customWidth="1"/>
    <col min="770" max="770" width="38.5703125" style="80" customWidth="1"/>
    <col min="771" max="771" width="13.28515625" style="80" customWidth="1"/>
    <col min="772" max="772" width="12.85546875" style="80" customWidth="1"/>
    <col min="773" max="773" width="11.42578125" style="80" customWidth="1"/>
    <col min="774" max="774" width="9.7109375" style="80" bestFit="1" customWidth="1"/>
    <col min="775" max="775" width="9.7109375" style="80" customWidth="1"/>
    <col min="776" max="776" width="9.85546875" style="80" customWidth="1"/>
    <col min="777" max="777" width="12" style="80" bestFit="1" customWidth="1"/>
    <col min="778" max="778" width="12" style="80" customWidth="1"/>
    <col min="779" max="779" width="8.85546875" style="80"/>
    <col min="780" max="780" width="10.7109375" style="80" customWidth="1"/>
    <col min="781" max="1024" width="8.85546875" style="80"/>
    <col min="1025" max="1025" width="3.7109375" style="80" customWidth="1"/>
    <col min="1026" max="1026" width="38.5703125" style="80" customWidth="1"/>
    <col min="1027" max="1027" width="13.28515625" style="80" customWidth="1"/>
    <col min="1028" max="1028" width="12.85546875" style="80" customWidth="1"/>
    <col min="1029" max="1029" width="11.42578125" style="80" customWidth="1"/>
    <col min="1030" max="1030" width="9.7109375" style="80" bestFit="1" customWidth="1"/>
    <col min="1031" max="1031" width="9.7109375" style="80" customWidth="1"/>
    <col min="1032" max="1032" width="9.85546875" style="80" customWidth="1"/>
    <col min="1033" max="1033" width="12" style="80" bestFit="1" customWidth="1"/>
    <col min="1034" max="1034" width="12" style="80" customWidth="1"/>
    <col min="1035" max="1035" width="8.85546875" style="80"/>
    <col min="1036" max="1036" width="10.7109375" style="80" customWidth="1"/>
    <col min="1037" max="1280" width="8.85546875" style="80"/>
    <col min="1281" max="1281" width="3.7109375" style="80" customWidth="1"/>
    <col min="1282" max="1282" width="38.5703125" style="80" customWidth="1"/>
    <col min="1283" max="1283" width="13.28515625" style="80" customWidth="1"/>
    <col min="1284" max="1284" width="12.85546875" style="80" customWidth="1"/>
    <col min="1285" max="1285" width="11.42578125" style="80" customWidth="1"/>
    <col min="1286" max="1286" width="9.7109375" style="80" bestFit="1" customWidth="1"/>
    <col min="1287" max="1287" width="9.7109375" style="80" customWidth="1"/>
    <col min="1288" max="1288" width="9.85546875" style="80" customWidth="1"/>
    <col min="1289" max="1289" width="12" style="80" bestFit="1" customWidth="1"/>
    <col min="1290" max="1290" width="12" style="80" customWidth="1"/>
    <col min="1291" max="1291" width="8.85546875" style="80"/>
    <col min="1292" max="1292" width="10.7109375" style="80" customWidth="1"/>
    <col min="1293" max="1536" width="8.85546875" style="80"/>
    <col min="1537" max="1537" width="3.7109375" style="80" customWidth="1"/>
    <col min="1538" max="1538" width="38.5703125" style="80" customWidth="1"/>
    <col min="1539" max="1539" width="13.28515625" style="80" customWidth="1"/>
    <col min="1540" max="1540" width="12.85546875" style="80" customWidth="1"/>
    <col min="1541" max="1541" width="11.42578125" style="80" customWidth="1"/>
    <col min="1542" max="1542" width="9.7109375" style="80" bestFit="1" customWidth="1"/>
    <col min="1543" max="1543" width="9.7109375" style="80" customWidth="1"/>
    <col min="1544" max="1544" width="9.85546875" style="80" customWidth="1"/>
    <col min="1545" max="1545" width="12" style="80" bestFit="1" customWidth="1"/>
    <col min="1546" max="1546" width="12" style="80" customWidth="1"/>
    <col min="1547" max="1547" width="8.85546875" style="80"/>
    <col min="1548" max="1548" width="10.7109375" style="80" customWidth="1"/>
    <col min="1549" max="1792" width="8.85546875" style="80"/>
    <col min="1793" max="1793" width="3.7109375" style="80" customWidth="1"/>
    <col min="1794" max="1794" width="38.5703125" style="80" customWidth="1"/>
    <col min="1795" max="1795" width="13.28515625" style="80" customWidth="1"/>
    <col min="1796" max="1796" width="12.85546875" style="80" customWidth="1"/>
    <col min="1797" max="1797" width="11.42578125" style="80" customWidth="1"/>
    <col min="1798" max="1798" width="9.7109375" style="80" bestFit="1" customWidth="1"/>
    <col min="1799" max="1799" width="9.7109375" style="80" customWidth="1"/>
    <col min="1800" max="1800" width="9.85546875" style="80" customWidth="1"/>
    <col min="1801" max="1801" width="12" style="80" bestFit="1" customWidth="1"/>
    <col min="1802" max="1802" width="12" style="80" customWidth="1"/>
    <col min="1803" max="1803" width="8.85546875" style="80"/>
    <col min="1804" max="1804" width="10.7109375" style="80" customWidth="1"/>
    <col min="1805" max="2048" width="8.85546875" style="80"/>
    <col min="2049" max="2049" width="3.7109375" style="80" customWidth="1"/>
    <col min="2050" max="2050" width="38.5703125" style="80" customWidth="1"/>
    <col min="2051" max="2051" width="13.28515625" style="80" customWidth="1"/>
    <col min="2052" max="2052" width="12.85546875" style="80" customWidth="1"/>
    <col min="2053" max="2053" width="11.42578125" style="80" customWidth="1"/>
    <col min="2054" max="2054" width="9.7109375" style="80" bestFit="1" customWidth="1"/>
    <col min="2055" max="2055" width="9.7109375" style="80" customWidth="1"/>
    <col min="2056" max="2056" width="9.85546875" style="80" customWidth="1"/>
    <col min="2057" max="2057" width="12" style="80" bestFit="1" customWidth="1"/>
    <col min="2058" max="2058" width="12" style="80" customWidth="1"/>
    <col min="2059" max="2059" width="8.85546875" style="80"/>
    <col min="2060" max="2060" width="10.7109375" style="80" customWidth="1"/>
    <col min="2061" max="2304" width="8.85546875" style="80"/>
    <col min="2305" max="2305" width="3.7109375" style="80" customWidth="1"/>
    <col min="2306" max="2306" width="38.5703125" style="80" customWidth="1"/>
    <col min="2307" max="2307" width="13.28515625" style="80" customWidth="1"/>
    <col min="2308" max="2308" width="12.85546875" style="80" customWidth="1"/>
    <col min="2309" max="2309" width="11.42578125" style="80" customWidth="1"/>
    <col min="2310" max="2310" width="9.7109375" style="80" bestFit="1" customWidth="1"/>
    <col min="2311" max="2311" width="9.7109375" style="80" customWidth="1"/>
    <col min="2312" max="2312" width="9.85546875" style="80" customWidth="1"/>
    <col min="2313" max="2313" width="12" style="80" bestFit="1" customWidth="1"/>
    <col min="2314" max="2314" width="12" style="80" customWidth="1"/>
    <col min="2315" max="2315" width="8.85546875" style="80"/>
    <col min="2316" max="2316" width="10.7109375" style="80" customWidth="1"/>
    <col min="2317" max="2560" width="8.85546875" style="80"/>
    <col min="2561" max="2561" width="3.7109375" style="80" customWidth="1"/>
    <col min="2562" max="2562" width="38.5703125" style="80" customWidth="1"/>
    <col min="2563" max="2563" width="13.28515625" style="80" customWidth="1"/>
    <col min="2564" max="2564" width="12.85546875" style="80" customWidth="1"/>
    <col min="2565" max="2565" width="11.42578125" style="80" customWidth="1"/>
    <col min="2566" max="2566" width="9.7109375" style="80" bestFit="1" customWidth="1"/>
    <col min="2567" max="2567" width="9.7109375" style="80" customWidth="1"/>
    <col min="2568" max="2568" width="9.85546875" style="80" customWidth="1"/>
    <col min="2569" max="2569" width="12" style="80" bestFit="1" customWidth="1"/>
    <col min="2570" max="2570" width="12" style="80" customWidth="1"/>
    <col min="2571" max="2571" width="8.85546875" style="80"/>
    <col min="2572" max="2572" width="10.7109375" style="80" customWidth="1"/>
    <col min="2573" max="2816" width="8.85546875" style="80"/>
    <col min="2817" max="2817" width="3.7109375" style="80" customWidth="1"/>
    <col min="2818" max="2818" width="38.5703125" style="80" customWidth="1"/>
    <col min="2819" max="2819" width="13.28515625" style="80" customWidth="1"/>
    <col min="2820" max="2820" width="12.85546875" style="80" customWidth="1"/>
    <col min="2821" max="2821" width="11.42578125" style="80" customWidth="1"/>
    <col min="2822" max="2822" width="9.7109375" style="80" bestFit="1" customWidth="1"/>
    <col min="2823" max="2823" width="9.7109375" style="80" customWidth="1"/>
    <col min="2824" max="2824" width="9.85546875" style="80" customWidth="1"/>
    <col min="2825" max="2825" width="12" style="80" bestFit="1" customWidth="1"/>
    <col min="2826" max="2826" width="12" style="80" customWidth="1"/>
    <col min="2827" max="2827" width="8.85546875" style="80"/>
    <col min="2828" max="2828" width="10.7109375" style="80" customWidth="1"/>
    <col min="2829" max="3072" width="8.85546875" style="80"/>
    <col min="3073" max="3073" width="3.7109375" style="80" customWidth="1"/>
    <col min="3074" max="3074" width="38.5703125" style="80" customWidth="1"/>
    <col min="3075" max="3075" width="13.28515625" style="80" customWidth="1"/>
    <col min="3076" max="3076" width="12.85546875" style="80" customWidth="1"/>
    <col min="3077" max="3077" width="11.42578125" style="80" customWidth="1"/>
    <col min="3078" max="3078" width="9.7109375" style="80" bestFit="1" customWidth="1"/>
    <col min="3079" max="3079" width="9.7109375" style="80" customWidth="1"/>
    <col min="3080" max="3080" width="9.85546875" style="80" customWidth="1"/>
    <col min="3081" max="3081" width="12" style="80" bestFit="1" customWidth="1"/>
    <col min="3082" max="3082" width="12" style="80" customWidth="1"/>
    <col min="3083" max="3083" width="8.85546875" style="80"/>
    <col min="3084" max="3084" width="10.7109375" style="80" customWidth="1"/>
    <col min="3085" max="3328" width="8.85546875" style="80"/>
    <col min="3329" max="3329" width="3.7109375" style="80" customWidth="1"/>
    <col min="3330" max="3330" width="38.5703125" style="80" customWidth="1"/>
    <col min="3331" max="3331" width="13.28515625" style="80" customWidth="1"/>
    <col min="3332" max="3332" width="12.85546875" style="80" customWidth="1"/>
    <col min="3333" max="3333" width="11.42578125" style="80" customWidth="1"/>
    <col min="3334" max="3334" width="9.7109375" style="80" bestFit="1" customWidth="1"/>
    <col min="3335" max="3335" width="9.7109375" style="80" customWidth="1"/>
    <col min="3336" max="3336" width="9.85546875" style="80" customWidth="1"/>
    <col min="3337" max="3337" width="12" style="80" bestFit="1" customWidth="1"/>
    <col min="3338" max="3338" width="12" style="80" customWidth="1"/>
    <col min="3339" max="3339" width="8.85546875" style="80"/>
    <col min="3340" max="3340" width="10.7109375" style="80" customWidth="1"/>
    <col min="3341" max="3584" width="8.85546875" style="80"/>
    <col min="3585" max="3585" width="3.7109375" style="80" customWidth="1"/>
    <col min="3586" max="3586" width="38.5703125" style="80" customWidth="1"/>
    <col min="3587" max="3587" width="13.28515625" style="80" customWidth="1"/>
    <col min="3588" max="3588" width="12.85546875" style="80" customWidth="1"/>
    <col min="3589" max="3589" width="11.42578125" style="80" customWidth="1"/>
    <col min="3590" max="3590" width="9.7109375" style="80" bestFit="1" customWidth="1"/>
    <col min="3591" max="3591" width="9.7109375" style="80" customWidth="1"/>
    <col min="3592" max="3592" width="9.85546875" style="80" customWidth="1"/>
    <col min="3593" max="3593" width="12" style="80" bestFit="1" customWidth="1"/>
    <col min="3594" max="3594" width="12" style="80" customWidth="1"/>
    <col min="3595" max="3595" width="8.85546875" style="80"/>
    <col min="3596" max="3596" width="10.7109375" style="80" customWidth="1"/>
    <col min="3597" max="3840" width="8.85546875" style="80"/>
    <col min="3841" max="3841" width="3.7109375" style="80" customWidth="1"/>
    <col min="3842" max="3842" width="38.5703125" style="80" customWidth="1"/>
    <col min="3843" max="3843" width="13.28515625" style="80" customWidth="1"/>
    <col min="3844" max="3844" width="12.85546875" style="80" customWidth="1"/>
    <col min="3845" max="3845" width="11.42578125" style="80" customWidth="1"/>
    <col min="3846" max="3846" width="9.7109375" style="80" bestFit="1" customWidth="1"/>
    <col min="3847" max="3847" width="9.7109375" style="80" customWidth="1"/>
    <col min="3848" max="3848" width="9.85546875" style="80" customWidth="1"/>
    <col min="3849" max="3849" width="12" style="80" bestFit="1" customWidth="1"/>
    <col min="3850" max="3850" width="12" style="80" customWidth="1"/>
    <col min="3851" max="3851" width="8.85546875" style="80"/>
    <col min="3852" max="3852" width="10.7109375" style="80" customWidth="1"/>
    <col min="3853" max="4096" width="8.85546875" style="80"/>
    <col min="4097" max="4097" width="3.7109375" style="80" customWidth="1"/>
    <col min="4098" max="4098" width="38.5703125" style="80" customWidth="1"/>
    <col min="4099" max="4099" width="13.28515625" style="80" customWidth="1"/>
    <col min="4100" max="4100" width="12.85546875" style="80" customWidth="1"/>
    <col min="4101" max="4101" width="11.42578125" style="80" customWidth="1"/>
    <col min="4102" max="4102" width="9.7109375" style="80" bestFit="1" customWidth="1"/>
    <col min="4103" max="4103" width="9.7109375" style="80" customWidth="1"/>
    <col min="4104" max="4104" width="9.85546875" style="80" customWidth="1"/>
    <col min="4105" max="4105" width="12" style="80" bestFit="1" customWidth="1"/>
    <col min="4106" max="4106" width="12" style="80" customWidth="1"/>
    <col min="4107" max="4107" width="8.85546875" style="80"/>
    <col min="4108" max="4108" width="10.7109375" style="80" customWidth="1"/>
    <col min="4109" max="4352" width="8.85546875" style="80"/>
    <col min="4353" max="4353" width="3.7109375" style="80" customWidth="1"/>
    <col min="4354" max="4354" width="38.5703125" style="80" customWidth="1"/>
    <col min="4355" max="4355" width="13.28515625" style="80" customWidth="1"/>
    <col min="4356" max="4356" width="12.85546875" style="80" customWidth="1"/>
    <col min="4357" max="4357" width="11.42578125" style="80" customWidth="1"/>
    <col min="4358" max="4358" width="9.7109375" style="80" bestFit="1" customWidth="1"/>
    <col min="4359" max="4359" width="9.7109375" style="80" customWidth="1"/>
    <col min="4360" max="4360" width="9.85546875" style="80" customWidth="1"/>
    <col min="4361" max="4361" width="12" style="80" bestFit="1" customWidth="1"/>
    <col min="4362" max="4362" width="12" style="80" customWidth="1"/>
    <col min="4363" max="4363" width="8.85546875" style="80"/>
    <col min="4364" max="4364" width="10.7109375" style="80" customWidth="1"/>
    <col min="4365" max="4608" width="8.85546875" style="80"/>
    <col min="4609" max="4609" width="3.7109375" style="80" customWidth="1"/>
    <col min="4610" max="4610" width="38.5703125" style="80" customWidth="1"/>
    <col min="4611" max="4611" width="13.28515625" style="80" customWidth="1"/>
    <col min="4612" max="4612" width="12.85546875" style="80" customWidth="1"/>
    <col min="4613" max="4613" width="11.42578125" style="80" customWidth="1"/>
    <col min="4614" max="4614" width="9.7109375" style="80" bestFit="1" customWidth="1"/>
    <col min="4615" max="4615" width="9.7109375" style="80" customWidth="1"/>
    <col min="4616" max="4616" width="9.85546875" style="80" customWidth="1"/>
    <col min="4617" max="4617" width="12" style="80" bestFit="1" customWidth="1"/>
    <col min="4618" max="4618" width="12" style="80" customWidth="1"/>
    <col min="4619" max="4619" width="8.85546875" style="80"/>
    <col min="4620" max="4620" width="10.7109375" style="80" customWidth="1"/>
    <col min="4621" max="4864" width="8.85546875" style="80"/>
    <col min="4865" max="4865" width="3.7109375" style="80" customWidth="1"/>
    <col min="4866" max="4866" width="38.5703125" style="80" customWidth="1"/>
    <col min="4867" max="4867" width="13.28515625" style="80" customWidth="1"/>
    <col min="4868" max="4868" width="12.85546875" style="80" customWidth="1"/>
    <col min="4869" max="4869" width="11.42578125" style="80" customWidth="1"/>
    <col min="4870" max="4870" width="9.7109375" style="80" bestFit="1" customWidth="1"/>
    <col min="4871" max="4871" width="9.7109375" style="80" customWidth="1"/>
    <col min="4872" max="4872" width="9.85546875" style="80" customWidth="1"/>
    <col min="4873" max="4873" width="12" style="80" bestFit="1" customWidth="1"/>
    <col min="4874" max="4874" width="12" style="80" customWidth="1"/>
    <col min="4875" max="4875" width="8.85546875" style="80"/>
    <col min="4876" max="4876" width="10.7109375" style="80" customWidth="1"/>
    <col min="4877" max="5120" width="8.85546875" style="80"/>
    <col min="5121" max="5121" width="3.7109375" style="80" customWidth="1"/>
    <col min="5122" max="5122" width="38.5703125" style="80" customWidth="1"/>
    <col min="5123" max="5123" width="13.28515625" style="80" customWidth="1"/>
    <col min="5124" max="5124" width="12.85546875" style="80" customWidth="1"/>
    <col min="5125" max="5125" width="11.42578125" style="80" customWidth="1"/>
    <col min="5126" max="5126" width="9.7109375" style="80" bestFit="1" customWidth="1"/>
    <col min="5127" max="5127" width="9.7109375" style="80" customWidth="1"/>
    <col min="5128" max="5128" width="9.85546875" style="80" customWidth="1"/>
    <col min="5129" max="5129" width="12" style="80" bestFit="1" customWidth="1"/>
    <col min="5130" max="5130" width="12" style="80" customWidth="1"/>
    <col min="5131" max="5131" width="8.85546875" style="80"/>
    <col min="5132" max="5132" width="10.7109375" style="80" customWidth="1"/>
    <col min="5133" max="5376" width="8.85546875" style="80"/>
    <col min="5377" max="5377" width="3.7109375" style="80" customWidth="1"/>
    <col min="5378" max="5378" width="38.5703125" style="80" customWidth="1"/>
    <col min="5379" max="5379" width="13.28515625" style="80" customWidth="1"/>
    <col min="5380" max="5380" width="12.85546875" style="80" customWidth="1"/>
    <col min="5381" max="5381" width="11.42578125" style="80" customWidth="1"/>
    <col min="5382" max="5382" width="9.7109375" style="80" bestFit="1" customWidth="1"/>
    <col min="5383" max="5383" width="9.7109375" style="80" customWidth="1"/>
    <col min="5384" max="5384" width="9.85546875" style="80" customWidth="1"/>
    <col min="5385" max="5385" width="12" style="80" bestFit="1" customWidth="1"/>
    <col min="5386" max="5386" width="12" style="80" customWidth="1"/>
    <col min="5387" max="5387" width="8.85546875" style="80"/>
    <col min="5388" max="5388" width="10.7109375" style="80" customWidth="1"/>
    <col min="5389" max="5632" width="8.85546875" style="80"/>
    <col min="5633" max="5633" width="3.7109375" style="80" customWidth="1"/>
    <col min="5634" max="5634" width="38.5703125" style="80" customWidth="1"/>
    <col min="5635" max="5635" width="13.28515625" style="80" customWidth="1"/>
    <col min="5636" max="5636" width="12.85546875" style="80" customWidth="1"/>
    <col min="5637" max="5637" width="11.42578125" style="80" customWidth="1"/>
    <col min="5638" max="5638" width="9.7109375" style="80" bestFit="1" customWidth="1"/>
    <col min="5639" max="5639" width="9.7109375" style="80" customWidth="1"/>
    <col min="5640" max="5640" width="9.85546875" style="80" customWidth="1"/>
    <col min="5641" max="5641" width="12" style="80" bestFit="1" customWidth="1"/>
    <col min="5642" max="5642" width="12" style="80" customWidth="1"/>
    <col min="5643" max="5643" width="8.85546875" style="80"/>
    <col min="5644" max="5644" width="10.7109375" style="80" customWidth="1"/>
    <col min="5645" max="5888" width="8.85546875" style="80"/>
    <col min="5889" max="5889" width="3.7109375" style="80" customWidth="1"/>
    <col min="5890" max="5890" width="38.5703125" style="80" customWidth="1"/>
    <col min="5891" max="5891" width="13.28515625" style="80" customWidth="1"/>
    <col min="5892" max="5892" width="12.85546875" style="80" customWidth="1"/>
    <col min="5893" max="5893" width="11.42578125" style="80" customWidth="1"/>
    <col min="5894" max="5894" width="9.7109375" style="80" bestFit="1" customWidth="1"/>
    <col min="5895" max="5895" width="9.7109375" style="80" customWidth="1"/>
    <col min="5896" max="5896" width="9.85546875" style="80" customWidth="1"/>
    <col min="5897" max="5897" width="12" style="80" bestFit="1" customWidth="1"/>
    <col min="5898" max="5898" width="12" style="80" customWidth="1"/>
    <col min="5899" max="5899" width="8.85546875" style="80"/>
    <col min="5900" max="5900" width="10.7109375" style="80" customWidth="1"/>
    <col min="5901" max="6144" width="8.85546875" style="80"/>
    <col min="6145" max="6145" width="3.7109375" style="80" customWidth="1"/>
    <col min="6146" max="6146" width="38.5703125" style="80" customWidth="1"/>
    <col min="6147" max="6147" width="13.28515625" style="80" customWidth="1"/>
    <col min="6148" max="6148" width="12.85546875" style="80" customWidth="1"/>
    <col min="6149" max="6149" width="11.42578125" style="80" customWidth="1"/>
    <col min="6150" max="6150" width="9.7109375" style="80" bestFit="1" customWidth="1"/>
    <col min="6151" max="6151" width="9.7109375" style="80" customWidth="1"/>
    <col min="6152" max="6152" width="9.85546875" style="80" customWidth="1"/>
    <col min="6153" max="6153" width="12" style="80" bestFit="1" customWidth="1"/>
    <col min="6154" max="6154" width="12" style="80" customWidth="1"/>
    <col min="6155" max="6155" width="8.85546875" style="80"/>
    <col min="6156" max="6156" width="10.7109375" style="80" customWidth="1"/>
    <col min="6157" max="6400" width="8.85546875" style="80"/>
    <col min="6401" max="6401" width="3.7109375" style="80" customWidth="1"/>
    <col min="6402" max="6402" width="38.5703125" style="80" customWidth="1"/>
    <col min="6403" max="6403" width="13.28515625" style="80" customWidth="1"/>
    <col min="6404" max="6404" width="12.85546875" style="80" customWidth="1"/>
    <col min="6405" max="6405" width="11.42578125" style="80" customWidth="1"/>
    <col min="6406" max="6406" width="9.7109375" style="80" bestFit="1" customWidth="1"/>
    <col min="6407" max="6407" width="9.7109375" style="80" customWidth="1"/>
    <col min="6408" max="6408" width="9.85546875" style="80" customWidth="1"/>
    <col min="6409" max="6409" width="12" style="80" bestFit="1" customWidth="1"/>
    <col min="6410" max="6410" width="12" style="80" customWidth="1"/>
    <col min="6411" max="6411" width="8.85546875" style="80"/>
    <col min="6412" max="6412" width="10.7109375" style="80" customWidth="1"/>
    <col min="6413" max="6656" width="8.85546875" style="80"/>
    <col min="6657" max="6657" width="3.7109375" style="80" customWidth="1"/>
    <col min="6658" max="6658" width="38.5703125" style="80" customWidth="1"/>
    <col min="6659" max="6659" width="13.28515625" style="80" customWidth="1"/>
    <col min="6660" max="6660" width="12.85546875" style="80" customWidth="1"/>
    <col min="6661" max="6661" width="11.42578125" style="80" customWidth="1"/>
    <col min="6662" max="6662" width="9.7109375" style="80" bestFit="1" customWidth="1"/>
    <col min="6663" max="6663" width="9.7109375" style="80" customWidth="1"/>
    <col min="6664" max="6664" width="9.85546875" style="80" customWidth="1"/>
    <col min="6665" max="6665" width="12" style="80" bestFit="1" customWidth="1"/>
    <col min="6666" max="6666" width="12" style="80" customWidth="1"/>
    <col min="6667" max="6667" width="8.85546875" style="80"/>
    <col min="6668" max="6668" width="10.7109375" style="80" customWidth="1"/>
    <col min="6669" max="6912" width="8.85546875" style="80"/>
    <col min="6913" max="6913" width="3.7109375" style="80" customWidth="1"/>
    <col min="6914" max="6914" width="38.5703125" style="80" customWidth="1"/>
    <col min="6915" max="6915" width="13.28515625" style="80" customWidth="1"/>
    <col min="6916" max="6916" width="12.85546875" style="80" customWidth="1"/>
    <col min="6917" max="6917" width="11.42578125" style="80" customWidth="1"/>
    <col min="6918" max="6918" width="9.7109375" style="80" bestFit="1" customWidth="1"/>
    <col min="6919" max="6919" width="9.7109375" style="80" customWidth="1"/>
    <col min="6920" max="6920" width="9.85546875" style="80" customWidth="1"/>
    <col min="6921" max="6921" width="12" style="80" bestFit="1" customWidth="1"/>
    <col min="6922" max="6922" width="12" style="80" customWidth="1"/>
    <col min="6923" max="6923" width="8.85546875" style="80"/>
    <col min="6924" max="6924" width="10.7109375" style="80" customWidth="1"/>
    <col min="6925" max="7168" width="8.85546875" style="80"/>
    <col min="7169" max="7169" width="3.7109375" style="80" customWidth="1"/>
    <col min="7170" max="7170" width="38.5703125" style="80" customWidth="1"/>
    <col min="7171" max="7171" width="13.28515625" style="80" customWidth="1"/>
    <col min="7172" max="7172" width="12.85546875" style="80" customWidth="1"/>
    <col min="7173" max="7173" width="11.42578125" style="80" customWidth="1"/>
    <col min="7174" max="7174" width="9.7109375" style="80" bestFit="1" customWidth="1"/>
    <col min="7175" max="7175" width="9.7109375" style="80" customWidth="1"/>
    <col min="7176" max="7176" width="9.85546875" style="80" customWidth="1"/>
    <col min="7177" max="7177" width="12" style="80" bestFit="1" customWidth="1"/>
    <col min="7178" max="7178" width="12" style="80" customWidth="1"/>
    <col min="7179" max="7179" width="8.85546875" style="80"/>
    <col min="7180" max="7180" width="10.7109375" style="80" customWidth="1"/>
    <col min="7181" max="7424" width="8.85546875" style="80"/>
    <col min="7425" max="7425" width="3.7109375" style="80" customWidth="1"/>
    <col min="7426" max="7426" width="38.5703125" style="80" customWidth="1"/>
    <col min="7427" max="7427" width="13.28515625" style="80" customWidth="1"/>
    <col min="7428" max="7428" width="12.85546875" style="80" customWidth="1"/>
    <col min="7429" max="7429" width="11.42578125" style="80" customWidth="1"/>
    <col min="7430" max="7430" width="9.7109375" style="80" bestFit="1" customWidth="1"/>
    <col min="7431" max="7431" width="9.7109375" style="80" customWidth="1"/>
    <col min="7432" max="7432" width="9.85546875" style="80" customWidth="1"/>
    <col min="7433" max="7433" width="12" style="80" bestFit="1" customWidth="1"/>
    <col min="7434" max="7434" width="12" style="80" customWidth="1"/>
    <col min="7435" max="7435" width="8.85546875" style="80"/>
    <col min="7436" max="7436" width="10.7109375" style="80" customWidth="1"/>
    <col min="7437" max="7680" width="8.85546875" style="80"/>
    <col min="7681" max="7681" width="3.7109375" style="80" customWidth="1"/>
    <col min="7682" max="7682" width="38.5703125" style="80" customWidth="1"/>
    <col min="7683" max="7683" width="13.28515625" style="80" customWidth="1"/>
    <col min="7684" max="7684" width="12.85546875" style="80" customWidth="1"/>
    <col min="7685" max="7685" width="11.42578125" style="80" customWidth="1"/>
    <col min="7686" max="7686" width="9.7109375" style="80" bestFit="1" customWidth="1"/>
    <col min="7687" max="7687" width="9.7109375" style="80" customWidth="1"/>
    <col min="7688" max="7688" width="9.85546875" style="80" customWidth="1"/>
    <col min="7689" max="7689" width="12" style="80" bestFit="1" customWidth="1"/>
    <col min="7690" max="7690" width="12" style="80" customWidth="1"/>
    <col min="7691" max="7691" width="8.85546875" style="80"/>
    <col min="7692" max="7692" width="10.7109375" style="80" customWidth="1"/>
    <col min="7693" max="7936" width="8.85546875" style="80"/>
    <col min="7937" max="7937" width="3.7109375" style="80" customWidth="1"/>
    <col min="7938" max="7938" width="38.5703125" style="80" customWidth="1"/>
    <col min="7939" max="7939" width="13.28515625" style="80" customWidth="1"/>
    <col min="7940" max="7940" width="12.85546875" style="80" customWidth="1"/>
    <col min="7941" max="7941" width="11.42578125" style="80" customWidth="1"/>
    <col min="7942" max="7942" width="9.7109375" style="80" bestFit="1" customWidth="1"/>
    <col min="7943" max="7943" width="9.7109375" style="80" customWidth="1"/>
    <col min="7944" max="7944" width="9.85546875" style="80" customWidth="1"/>
    <col min="7945" max="7945" width="12" style="80" bestFit="1" customWidth="1"/>
    <col min="7946" max="7946" width="12" style="80" customWidth="1"/>
    <col min="7947" max="7947" width="8.85546875" style="80"/>
    <col min="7948" max="7948" width="10.7109375" style="80" customWidth="1"/>
    <col min="7949" max="8192" width="8.85546875" style="80"/>
    <col min="8193" max="8193" width="3.7109375" style="80" customWidth="1"/>
    <col min="8194" max="8194" width="38.5703125" style="80" customWidth="1"/>
    <col min="8195" max="8195" width="13.28515625" style="80" customWidth="1"/>
    <col min="8196" max="8196" width="12.85546875" style="80" customWidth="1"/>
    <col min="8197" max="8197" width="11.42578125" style="80" customWidth="1"/>
    <col min="8198" max="8198" width="9.7109375" style="80" bestFit="1" customWidth="1"/>
    <col min="8199" max="8199" width="9.7109375" style="80" customWidth="1"/>
    <col min="8200" max="8200" width="9.85546875" style="80" customWidth="1"/>
    <col min="8201" max="8201" width="12" style="80" bestFit="1" customWidth="1"/>
    <col min="8202" max="8202" width="12" style="80" customWidth="1"/>
    <col min="8203" max="8203" width="8.85546875" style="80"/>
    <col min="8204" max="8204" width="10.7109375" style="80" customWidth="1"/>
    <col min="8205" max="8448" width="8.85546875" style="80"/>
    <col min="8449" max="8449" width="3.7109375" style="80" customWidth="1"/>
    <col min="8450" max="8450" width="38.5703125" style="80" customWidth="1"/>
    <col min="8451" max="8451" width="13.28515625" style="80" customWidth="1"/>
    <col min="8452" max="8452" width="12.85546875" style="80" customWidth="1"/>
    <col min="8453" max="8453" width="11.42578125" style="80" customWidth="1"/>
    <col min="8454" max="8454" width="9.7109375" style="80" bestFit="1" customWidth="1"/>
    <col min="8455" max="8455" width="9.7109375" style="80" customWidth="1"/>
    <col min="8456" max="8456" width="9.85546875" style="80" customWidth="1"/>
    <col min="8457" max="8457" width="12" style="80" bestFit="1" customWidth="1"/>
    <col min="8458" max="8458" width="12" style="80" customWidth="1"/>
    <col min="8459" max="8459" width="8.85546875" style="80"/>
    <col min="8460" max="8460" width="10.7109375" style="80" customWidth="1"/>
    <col min="8461" max="8704" width="8.85546875" style="80"/>
    <col min="8705" max="8705" width="3.7109375" style="80" customWidth="1"/>
    <col min="8706" max="8706" width="38.5703125" style="80" customWidth="1"/>
    <col min="8707" max="8707" width="13.28515625" style="80" customWidth="1"/>
    <col min="8708" max="8708" width="12.85546875" style="80" customWidth="1"/>
    <col min="8709" max="8709" width="11.42578125" style="80" customWidth="1"/>
    <col min="8710" max="8710" width="9.7109375" style="80" bestFit="1" customWidth="1"/>
    <col min="8711" max="8711" width="9.7109375" style="80" customWidth="1"/>
    <col min="8712" max="8712" width="9.85546875" style="80" customWidth="1"/>
    <col min="8713" max="8713" width="12" style="80" bestFit="1" customWidth="1"/>
    <col min="8714" max="8714" width="12" style="80" customWidth="1"/>
    <col min="8715" max="8715" width="8.85546875" style="80"/>
    <col min="8716" max="8716" width="10.7109375" style="80" customWidth="1"/>
    <col min="8717" max="8960" width="8.85546875" style="80"/>
    <col min="8961" max="8961" width="3.7109375" style="80" customWidth="1"/>
    <col min="8962" max="8962" width="38.5703125" style="80" customWidth="1"/>
    <col min="8963" max="8963" width="13.28515625" style="80" customWidth="1"/>
    <col min="8964" max="8964" width="12.85546875" style="80" customWidth="1"/>
    <col min="8965" max="8965" width="11.42578125" style="80" customWidth="1"/>
    <col min="8966" max="8966" width="9.7109375" style="80" bestFit="1" customWidth="1"/>
    <col min="8967" max="8967" width="9.7109375" style="80" customWidth="1"/>
    <col min="8968" max="8968" width="9.85546875" style="80" customWidth="1"/>
    <col min="8969" max="8969" width="12" style="80" bestFit="1" customWidth="1"/>
    <col min="8970" max="8970" width="12" style="80" customWidth="1"/>
    <col min="8971" max="8971" width="8.85546875" style="80"/>
    <col min="8972" max="8972" width="10.7109375" style="80" customWidth="1"/>
    <col min="8973" max="9216" width="8.85546875" style="80"/>
    <col min="9217" max="9217" width="3.7109375" style="80" customWidth="1"/>
    <col min="9218" max="9218" width="38.5703125" style="80" customWidth="1"/>
    <col min="9219" max="9219" width="13.28515625" style="80" customWidth="1"/>
    <col min="9220" max="9220" width="12.85546875" style="80" customWidth="1"/>
    <col min="9221" max="9221" width="11.42578125" style="80" customWidth="1"/>
    <col min="9222" max="9222" width="9.7109375" style="80" bestFit="1" customWidth="1"/>
    <col min="9223" max="9223" width="9.7109375" style="80" customWidth="1"/>
    <col min="9224" max="9224" width="9.85546875" style="80" customWidth="1"/>
    <col min="9225" max="9225" width="12" style="80" bestFit="1" customWidth="1"/>
    <col min="9226" max="9226" width="12" style="80" customWidth="1"/>
    <col min="9227" max="9227" width="8.85546875" style="80"/>
    <col min="9228" max="9228" width="10.7109375" style="80" customWidth="1"/>
    <col min="9229" max="9472" width="8.85546875" style="80"/>
    <col min="9473" max="9473" width="3.7109375" style="80" customWidth="1"/>
    <col min="9474" max="9474" width="38.5703125" style="80" customWidth="1"/>
    <col min="9475" max="9475" width="13.28515625" style="80" customWidth="1"/>
    <col min="9476" max="9476" width="12.85546875" style="80" customWidth="1"/>
    <col min="9477" max="9477" width="11.42578125" style="80" customWidth="1"/>
    <col min="9478" max="9478" width="9.7109375" style="80" bestFit="1" customWidth="1"/>
    <col min="9479" max="9479" width="9.7109375" style="80" customWidth="1"/>
    <col min="9480" max="9480" width="9.85546875" style="80" customWidth="1"/>
    <col min="9481" max="9481" width="12" style="80" bestFit="1" customWidth="1"/>
    <col min="9482" max="9482" width="12" style="80" customWidth="1"/>
    <col min="9483" max="9483" width="8.85546875" style="80"/>
    <col min="9484" max="9484" width="10.7109375" style="80" customWidth="1"/>
    <col min="9485" max="9728" width="8.85546875" style="80"/>
    <col min="9729" max="9729" width="3.7109375" style="80" customWidth="1"/>
    <col min="9730" max="9730" width="38.5703125" style="80" customWidth="1"/>
    <col min="9731" max="9731" width="13.28515625" style="80" customWidth="1"/>
    <col min="9732" max="9732" width="12.85546875" style="80" customWidth="1"/>
    <col min="9733" max="9733" width="11.42578125" style="80" customWidth="1"/>
    <col min="9734" max="9734" width="9.7109375" style="80" bestFit="1" customWidth="1"/>
    <col min="9735" max="9735" width="9.7109375" style="80" customWidth="1"/>
    <col min="9736" max="9736" width="9.85546875" style="80" customWidth="1"/>
    <col min="9737" max="9737" width="12" style="80" bestFit="1" customWidth="1"/>
    <col min="9738" max="9738" width="12" style="80" customWidth="1"/>
    <col min="9739" max="9739" width="8.85546875" style="80"/>
    <col min="9740" max="9740" width="10.7109375" style="80" customWidth="1"/>
    <col min="9741" max="9984" width="8.85546875" style="80"/>
    <col min="9985" max="9985" width="3.7109375" style="80" customWidth="1"/>
    <col min="9986" max="9986" width="38.5703125" style="80" customWidth="1"/>
    <col min="9987" max="9987" width="13.28515625" style="80" customWidth="1"/>
    <col min="9988" max="9988" width="12.85546875" style="80" customWidth="1"/>
    <col min="9989" max="9989" width="11.42578125" style="80" customWidth="1"/>
    <col min="9990" max="9990" width="9.7109375" style="80" bestFit="1" customWidth="1"/>
    <col min="9991" max="9991" width="9.7109375" style="80" customWidth="1"/>
    <col min="9992" max="9992" width="9.85546875" style="80" customWidth="1"/>
    <col min="9993" max="9993" width="12" style="80" bestFit="1" customWidth="1"/>
    <col min="9994" max="9994" width="12" style="80" customWidth="1"/>
    <col min="9995" max="9995" width="8.85546875" style="80"/>
    <col min="9996" max="9996" width="10.7109375" style="80" customWidth="1"/>
    <col min="9997" max="10240" width="8.85546875" style="80"/>
    <col min="10241" max="10241" width="3.7109375" style="80" customWidth="1"/>
    <col min="10242" max="10242" width="38.5703125" style="80" customWidth="1"/>
    <col min="10243" max="10243" width="13.28515625" style="80" customWidth="1"/>
    <col min="10244" max="10244" width="12.85546875" style="80" customWidth="1"/>
    <col min="10245" max="10245" width="11.42578125" style="80" customWidth="1"/>
    <col min="10246" max="10246" width="9.7109375" style="80" bestFit="1" customWidth="1"/>
    <col min="10247" max="10247" width="9.7109375" style="80" customWidth="1"/>
    <col min="10248" max="10248" width="9.85546875" style="80" customWidth="1"/>
    <col min="10249" max="10249" width="12" style="80" bestFit="1" customWidth="1"/>
    <col min="10250" max="10250" width="12" style="80" customWidth="1"/>
    <col min="10251" max="10251" width="8.85546875" style="80"/>
    <col min="10252" max="10252" width="10.7109375" style="80" customWidth="1"/>
    <col min="10253" max="10496" width="8.85546875" style="80"/>
    <col min="10497" max="10497" width="3.7109375" style="80" customWidth="1"/>
    <col min="10498" max="10498" width="38.5703125" style="80" customWidth="1"/>
    <col min="10499" max="10499" width="13.28515625" style="80" customWidth="1"/>
    <col min="10500" max="10500" width="12.85546875" style="80" customWidth="1"/>
    <col min="10501" max="10501" width="11.42578125" style="80" customWidth="1"/>
    <col min="10502" max="10502" width="9.7109375" style="80" bestFit="1" customWidth="1"/>
    <col min="10503" max="10503" width="9.7109375" style="80" customWidth="1"/>
    <col min="10504" max="10504" width="9.85546875" style="80" customWidth="1"/>
    <col min="10505" max="10505" width="12" style="80" bestFit="1" customWidth="1"/>
    <col min="10506" max="10506" width="12" style="80" customWidth="1"/>
    <col min="10507" max="10507" width="8.85546875" style="80"/>
    <col min="10508" max="10508" width="10.7109375" style="80" customWidth="1"/>
    <col min="10509" max="10752" width="8.85546875" style="80"/>
    <col min="10753" max="10753" width="3.7109375" style="80" customWidth="1"/>
    <col min="10754" max="10754" width="38.5703125" style="80" customWidth="1"/>
    <col min="10755" max="10755" width="13.28515625" style="80" customWidth="1"/>
    <col min="10756" max="10756" width="12.85546875" style="80" customWidth="1"/>
    <col min="10757" max="10757" width="11.42578125" style="80" customWidth="1"/>
    <col min="10758" max="10758" width="9.7109375" style="80" bestFit="1" customWidth="1"/>
    <col min="10759" max="10759" width="9.7109375" style="80" customWidth="1"/>
    <col min="10760" max="10760" width="9.85546875" style="80" customWidth="1"/>
    <col min="10761" max="10761" width="12" style="80" bestFit="1" customWidth="1"/>
    <col min="10762" max="10762" width="12" style="80" customWidth="1"/>
    <col min="10763" max="10763" width="8.85546875" style="80"/>
    <col min="10764" max="10764" width="10.7109375" style="80" customWidth="1"/>
    <col min="10765" max="11008" width="8.85546875" style="80"/>
    <col min="11009" max="11009" width="3.7109375" style="80" customWidth="1"/>
    <col min="11010" max="11010" width="38.5703125" style="80" customWidth="1"/>
    <col min="11011" max="11011" width="13.28515625" style="80" customWidth="1"/>
    <col min="11012" max="11012" width="12.85546875" style="80" customWidth="1"/>
    <col min="11013" max="11013" width="11.42578125" style="80" customWidth="1"/>
    <col min="11014" max="11014" width="9.7109375" style="80" bestFit="1" customWidth="1"/>
    <col min="11015" max="11015" width="9.7109375" style="80" customWidth="1"/>
    <col min="11016" max="11016" width="9.85546875" style="80" customWidth="1"/>
    <col min="11017" max="11017" width="12" style="80" bestFit="1" customWidth="1"/>
    <col min="11018" max="11018" width="12" style="80" customWidth="1"/>
    <col min="11019" max="11019" width="8.85546875" style="80"/>
    <col min="11020" max="11020" width="10.7109375" style="80" customWidth="1"/>
    <col min="11021" max="11264" width="8.85546875" style="80"/>
    <col min="11265" max="11265" width="3.7109375" style="80" customWidth="1"/>
    <col min="11266" max="11266" width="38.5703125" style="80" customWidth="1"/>
    <col min="11267" max="11267" width="13.28515625" style="80" customWidth="1"/>
    <col min="11268" max="11268" width="12.85546875" style="80" customWidth="1"/>
    <col min="11269" max="11269" width="11.42578125" style="80" customWidth="1"/>
    <col min="11270" max="11270" width="9.7109375" style="80" bestFit="1" customWidth="1"/>
    <col min="11271" max="11271" width="9.7109375" style="80" customWidth="1"/>
    <col min="11272" max="11272" width="9.85546875" style="80" customWidth="1"/>
    <col min="11273" max="11273" width="12" style="80" bestFit="1" customWidth="1"/>
    <col min="11274" max="11274" width="12" style="80" customWidth="1"/>
    <col min="11275" max="11275" width="8.85546875" style="80"/>
    <col min="11276" max="11276" width="10.7109375" style="80" customWidth="1"/>
    <col min="11277" max="11520" width="8.85546875" style="80"/>
    <col min="11521" max="11521" width="3.7109375" style="80" customWidth="1"/>
    <col min="11522" max="11522" width="38.5703125" style="80" customWidth="1"/>
    <col min="11523" max="11523" width="13.28515625" style="80" customWidth="1"/>
    <col min="11524" max="11524" width="12.85546875" style="80" customWidth="1"/>
    <col min="11525" max="11525" width="11.42578125" style="80" customWidth="1"/>
    <col min="11526" max="11526" width="9.7109375" style="80" bestFit="1" customWidth="1"/>
    <col min="11527" max="11527" width="9.7109375" style="80" customWidth="1"/>
    <col min="11528" max="11528" width="9.85546875" style="80" customWidth="1"/>
    <col min="11529" max="11529" width="12" style="80" bestFit="1" customWidth="1"/>
    <col min="11530" max="11530" width="12" style="80" customWidth="1"/>
    <col min="11531" max="11531" width="8.85546875" style="80"/>
    <col min="11532" max="11532" width="10.7109375" style="80" customWidth="1"/>
    <col min="11533" max="11776" width="8.85546875" style="80"/>
    <col min="11777" max="11777" width="3.7109375" style="80" customWidth="1"/>
    <col min="11778" max="11778" width="38.5703125" style="80" customWidth="1"/>
    <col min="11779" max="11779" width="13.28515625" style="80" customWidth="1"/>
    <col min="11780" max="11780" width="12.85546875" style="80" customWidth="1"/>
    <col min="11781" max="11781" width="11.42578125" style="80" customWidth="1"/>
    <col min="11782" max="11782" width="9.7109375" style="80" bestFit="1" customWidth="1"/>
    <col min="11783" max="11783" width="9.7109375" style="80" customWidth="1"/>
    <col min="11784" max="11784" width="9.85546875" style="80" customWidth="1"/>
    <col min="11785" max="11785" width="12" style="80" bestFit="1" customWidth="1"/>
    <col min="11786" max="11786" width="12" style="80" customWidth="1"/>
    <col min="11787" max="11787" width="8.85546875" style="80"/>
    <col min="11788" max="11788" width="10.7109375" style="80" customWidth="1"/>
    <col min="11789" max="12032" width="8.85546875" style="80"/>
    <col min="12033" max="12033" width="3.7109375" style="80" customWidth="1"/>
    <col min="12034" max="12034" width="38.5703125" style="80" customWidth="1"/>
    <col min="12035" max="12035" width="13.28515625" style="80" customWidth="1"/>
    <col min="12036" max="12036" width="12.85546875" style="80" customWidth="1"/>
    <col min="12037" max="12037" width="11.42578125" style="80" customWidth="1"/>
    <col min="12038" max="12038" width="9.7109375" style="80" bestFit="1" customWidth="1"/>
    <col min="12039" max="12039" width="9.7109375" style="80" customWidth="1"/>
    <col min="12040" max="12040" width="9.85546875" style="80" customWidth="1"/>
    <col min="12041" max="12041" width="12" style="80" bestFit="1" customWidth="1"/>
    <col min="12042" max="12042" width="12" style="80" customWidth="1"/>
    <col min="12043" max="12043" width="8.85546875" style="80"/>
    <col min="12044" max="12044" width="10.7109375" style="80" customWidth="1"/>
    <col min="12045" max="12288" width="8.85546875" style="80"/>
    <col min="12289" max="12289" width="3.7109375" style="80" customWidth="1"/>
    <col min="12290" max="12290" width="38.5703125" style="80" customWidth="1"/>
    <col min="12291" max="12291" width="13.28515625" style="80" customWidth="1"/>
    <col min="12292" max="12292" width="12.85546875" style="80" customWidth="1"/>
    <col min="12293" max="12293" width="11.42578125" style="80" customWidth="1"/>
    <col min="12294" max="12294" width="9.7109375" style="80" bestFit="1" customWidth="1"/>
    <col min="12295" max="12295" width="9.7109375" style="80" customWidth="1"/>
    <col min="12296" max="12296" width="9.85546875" style="80" customWidth="1"/>
    <col min="12297" max="12297" width="12" style="80" bestFit="1" customWidth="1"/>
    <col min="12298" max="12298" width="12" style="80" customWidth="1"/>
    <col min="12299" max="12299" width="8.85546875" style="80"/>
    <col min="12300" max="12300" width="10.7109375" style="80" customWidth="1"/>
    <col min="12301" max="12544" width="8.85546875" style="80"/>
    <col min="12545" max="12545" width="3.7109375" style="80" customWidth="1"/>
    <col min="12546" max="12546" width="38.5703125" style="80" customWidth="1"/>
    <col min="12547" max="12547" width="13.28515625" style="80" customWidth="1"/>
    <col min="12548" max="12548" width="12.85546875" style="80" customWidth="1"/>
    <col min="12549" max="12549" width="11.42578125" style="80" customWidth="1"/>
    <col min="12550" max="12550" width="9.7109375" style="80" bestFit="1" customWidth="1"/>
    <col min="12551" max="12551" width="9.7109375" style="80" customWidth="1"/>
    <col min="12552" max="12552" width="9.85546875" style="80" customWidth="1"/>
    <col min="12553" max="12553" width="12" style="80" bestFit="1" customWidth="1"/>
    <col min="12554" max="12554" width="12" style="80" customWidth="1"/>
    <col min="12555" max="12555" width="8.85546875" style="80"/>
    <col min="12556" max="12556" width="10.7109375" style="80" customWidth="1"/>
    <col min="12557" max="12800" width="8.85546875" style="80"/>
    <col min="12801" max="12801" width="3.7109375" style="80" customWidth="1"/>
    <col min="12802" max="12802" width="38.5703125" style="80" customWidth="1"/>
    <col min="12803" max="12803" width="13.28515625" style="80" customWidth="1"/>
    <col min="12804" max="12804" width="12.85546875" style="80" customWidth="1"/>
    <col min="12805" max="12805" width="11.42578125" style="80" customWidth="1"/>
    <col min="12806" max="12806" width="9.7109375" style="80" bestFit="1" customWidth="1"/>
    <col min="12807" max="12807" width="9.7109375" style="80" customWidth="1"/>
    <col min="12808" max="12808" width="9.85546875" style="80" customWidth="1"/>
    <col min="12809" max="12809" width="12" style="80" bestFit="1" customWidth="1"/>
    <col min="12810" max="12810" width="12" style="80" customWidth="1"/>
    <col min="12811" max="12811" width="8.85546875" style="80"/>
    <col min="12812" max="12812" width="10.7109375" style="80" customWidth="1"/>
    <col min="12813" max="13056" width="8.85546875" style="80"/>
    <col min="13057" max="13057" width="3.7109375" style="80" customWidth="1"/>
    <col min="13058" max="13058" width="38.5703125" style="80" customWidth="1"/>
    <col min="13059" max="13059" width="13.28515625" style="80" customWidth="1"/>
    <col min="13060" max="13060" width="12.85546875" style="80" customWidth="1"/>
    <col min="13061" max="13061" width="11.42578125" style="80" customWidth="1"/>
    <col min="13062" max="13062" width="9.7109375" style="80" bestFit="1" customWidth="1"/>
    <col min="13063" max="13063" width="9.7109375" style="80" customWidth="1"/>
    <col min="13064" max="13064" width="9.85546875" style="80" customWidth="1"/>
    <col min="13065" max="13065" width="12" style="80" bestFit="1" customWidth="1"/>
    <col min="13066" max="13066" width="12" style="80" customWidth="1"/>
    <col min="13067" max="13067" width="8.85546875" style="80"/>
    <col min="13068" max="13068" width="10.7109375" style="80" customWidth="1"/>
    <col min="13069" max="13312" width="8.85546875" style="80"/>
    <col min="13313" max="13313" width="3.7109375" style="80" customWidth="1"/>
    <col min="13314" max="13314" width="38.5703125" style="80" customWidth="1"/>
    <col min="13315" max="13315" width="13.28515625" style="80" customWidth="1"/>
    <col min="13316" max="13316" width="12.85546875" style="80" customWidth="1"/>
    <col min="13317" max="13317" width="11.42578125" style="80" customWidth="1"/>
    <col min="13318" max="13318" width="9.7109375" style="80" bestFit="1" customWidth="1"/>
    <col min="13319" max="13319" width="9.7109375" style="80" customWidth="1"/>
    <col min="13320" max="13320" width="9.85546875" style="80" customWidth="1"/>
    <col min="13321" max="13321" width="12" style="80" bestFit="1" customWidth="1"/>
    <col min="13322" max="13322" width="12" style="80" customWidth="1"/>
    <col min="13323" max="13323" width="8.85546875" style="80"/>
    <col min="13324" max="13324" width="10.7109375" style="80" customWidth="1"/>
    <col min="13325" max="13568" width="8.85546875" style="80"/>
    <col min="13569" max="13569" width="3.7109375" style="80" customWidth="1"/>
    <col min="13570" max="13570" width="38.5703125" style="80" customWidth="1"/>
    <col min="13571" max="13571" width="13.28515625" style="80" customWidth="1"/>
    <col min="13572" max="13572" width="12.85546875" style="80" customWidth="1"/>
    <col min="13573" max="13573" width="11.42578125" style="80" customWidth="1"/>
    <col min="13574" max="13574" width="9.7109375" style="80" bestFit="1" customWidth="1"/>
    <col min="13575" max="13575" width="9.7109375" style="80" customWidth="1"/>
    <col min="13576" max="13576" width="9.85546875" style="80" customWidth="1"/>
    <col min="13577" max="13577" width="12" style="80" bestFit="1" customWidth="1"/>
    <col min="13578" max="13578" width="12" style="80" customWidth="1"/>
    <col min="13579" max="13579" width="8.85546875" style="80"/>
    <col min="13580" max="13580" width="10.7109375" style="80" customWidth="1"/>
    <col min="13581" max="13824" width="8.85546875" style="80"/>
    <col min="13825" max="13825" width="3.7109375" style="80" customWidth="1"/>
    <col min="13826" max="13826" width="38.5703125" style="80" customWidth="1"/>
    <col min="13827" max="13827" width="13.28515625" style="80" customWidth="1"/>
    <col min="13828" max="13828" width="12.85546875" style="80" customWidth="1"/>
    <col min="13829" max="13829" width="11.42578125" style="80" customWidth="1"/>
    <col min="13830" max="13830" width="9.7109375" style="80" bestFit="1" customWidth="1"/>
    <col min="13831" max="13831" width="9.7109375" style="80" customWidth="1"/>
    <col min="13832" max="13832" width="9.85546875" style="80" customWidth="1"/>
    <col min="13833" max="13833" width="12" style="80" bestFit="1" customWidth="1"/>
    <col min="13834" max="13834" width="12" style="80" customWidth="1"/>
    <col min="13835" max="13835" width="8.85546875" style="80"/>
    <col min="13836" max="13836" width="10.7109375" style="80" customWidth="1"/>
    <col min="13837" max="14080" width="8.85546875" style="80"/>
    <col min="14081" max="14081" width="3.7109375" style="80" customWidth="1"/>
    <col min="14082" max="14082" width="38.5703125" style="80" customWidth="1"/>
    <col min="14083" max="14083" width="13.28515625" style="80" customWidth="1"/>
    <col min="14084" max="14084" width="12.85546875" style="80" customWidth="1"/>
    <col min="14085" max="14085" width="11.42578125" style="80" customWidth="1"/>
    <col min="14086" max="14086" width="9.7109375" style="80" bestFit="1" customWidth="1"/>
    <col min="14087" max="14087" width="9.7109375" style="80" customWidth="1"/>
    <col min="14088" max="14088" width="9.85546875" style="80" customWidth="1"/>
    <col min="14089" max="14089" width="12" style="80" bestFit="1" customWidth="1"/>
    <col min="14090" max="14090" width="12" style="80" customWidth="1"/>
    <col min="14091" max="14091" width="8.85546875" style="80"/>
    <col min="14092" max="14092" width="10.7109375" style="80" customWidth="1"/>
    <col min="14093" max="14336" width="8.85546875" style="80"/>
    <col min="14337" max="14337" width="3.7109375" style="80" customWidth="1"/>
    <col min="14338" max="14338" width="38.5703125" style="80" customWidth="1"/>
    <col min="14339" max="14339" width="13.28515625" style="80" customWidth="1"/>
    <col min="14340" max="14340" width="12.85546875" style="80" customWidth="1"/>
    <col min="14341" max="14341" width="11.42578125" style="80" customWidth="1"/>
    <col min="14342" max="14342" width="9.7109375" style="80" bestFit="1" customWidth="1"/>
    <col min="14343" max="14343" width="9.7109375" style="80" customWidth="1"/>
    <col min="14344" max="14344" width="9.85546875" style="80" customWidth="1"/>
    <col min="14345" max="14345" width="12" style="80" bestFit="1" customWidth="1"/>
    <col min="14346" max="14346" width="12" style="80" customWidth="1"/>
    <col min="14347" max="14347" width="8.85546875" style="80"/>
    <col min="14348" max="14348" width="10.7109375" style="80" customWidth="1"/>
    <col min="14349" max="14592" width="8.85546875" style="80"/>
    <col min="14593" max="14593" width="3.7109375" style="80" customWidth="1"/>
    <col min="14594" max="14594" width="38.5703125" style="80" customWidth="1"/>
    <col min="14595" max="14595" width="13.28515625" style="80" customWidth="1"/>
    <col min="14596" max="14596" width="12.85546875" style="80" customWidth="1"/>
    <col min="14597" max="14597" width="11.42578125" style="80" customWidth="1"/>
    <col min="14598" max="14598" width="9.7109375" style="80" bestFit="1" customWidth="1"/>
    <col min="14599" max="14599" width="9.7109375" style="80" customWidth="1"/>
    <col min="14600" max="14600" width="9.85546875" style="80" customWidth="1"/>
    <col min="14601" max="14601" width="12" style="80" bestFit="1" customWidth="1"/>
    <col min="14602" max="14602" width="12" style="80" customWidth="1"/>
    <col min="14603" max="14603" width="8.85546875" style="80"/>
    <col min="14604" max="14604" width="10.7109375" style="80" customWidth="1"/>
    <col min="14605" max="14848" width="8.85546875" style="80"/>
    <col min="14849" max="14849" width="3.7109375" style="80" customWidth="1"/>
    <col min="14850" max="14850" width="38.5703125" style="80" customWidth="1"/>
    <col min="14851" max="14851" width="13.28515625" style="80" customWidth="1"/>
    <col min="14852" max="14852" width="12.85546875" style="80" customWidth="1"/>
    <col min="14853" max="14853" width="11.42578125" style="80" customWidth="1"/>
    <col min="14854" max="14854" width="9.7109375" style="80" bestFit="1" customWidth="1"/>
    <col min="14855" max="14855" width="9.7109375" style="80" customWidth="1"/>
    <col min="14856" max="14856" width="9.85546875" style="80" customWidth="1"/>
    <col min="14857" max="14857" width="12" style="80" bestFit="1" customWidth="1"/>
    <col min="14858" max="14858" width="12" style="80" customWidth="1"/>
    <col min="14859" max="14859" width="8.85546875" style="80"/>
    <col min="14860" max="14860" width="10.7109375" style="80" customWidth="1"/>
    <col min="14861" max="15104" width="8.85546875" style="80"/>
    <col min="15105" max="15105" width="3.7109375" style="80" customWidth="1"/>
    <col min="15106" max="15106" width="38.5703125" style="80" customWidth="1"/>
    <col min="15107" max="15107" width="13.28515625" style="80" customWidth="1"/>
    <col min="15108" max="15108" width="12.85546875" style="80" customWidth="1"/>
    <col min="15109" max="15109" width="11.42578125" style="80" customWidth="1"/>
    <col min="15110" max="15110" width="9.7109375" style="80" bestFit="1" customWidth="1"/>
    <col min="15111" max="15111" width="9.7109375" style="80" customWidth="1"/>
    <col min="15112" max="15112" width="9.85546875" style="80" customWidth="1"/>
    <col min="15113" max="15113" width="12" style="80" bestFit="1" customWidth="1"/>
    <col min="15114" max="15114" width="12" style="80" customWidth="1"/>
    <col min="15115" max="15115" width="8.85546875" style="80"/>
    <col min="15116" max="15116" width="10.7109375" style="80" customWidth="1"/>
    <col min="15117" max="15360" width="8.85546875" style="80"/>
    <col min="15361" max="15361" width="3.7109375" style="80" customWidth="1"/>
    <col min="15362" max="15362" width="38.5703125" style="80" customWidth="1"/>
    <col min="15363" max="15363" width="13.28515625" style="80" customWidth="1"/>
    <col min="15364" max="15364" width="12.85546875" style="80" customWidth="1"/>
    <col min="15365" max="15365" width="11.42578125" style="80" customWidth="1"/>
    <col min="15366" max="15366" width="9.7109375" style="80" bestFit="1" customWidth="1"/>
    <col min="15367" max="15367" width="9.7109375" style="80" customWidth="1"/>
    <col min="15368" max="15368" width="9.85546875" style="80" customWidth="1"/>
    <col min="15369" max="15369" width="12" style="80" bestFit="1" customWidth="1"/>
    <col min="15370" max="15370" width="12" style="80" customWidth="1"/>
    <col min="15371" max="15371" width="8.85546875" style="80"/>
    <col min="15372" max="15372" width="10.7109375" style="80" customWidth="1"/>
    <col min="15373" max="15616" width="8.85546875" style="80"/>
    <col min="15617" max="15617" width="3.7109375" style="80" customWidth="1"/>
    <col min="15618" max="15618" width="38.5703125" style="80" customWidth="1"/>
    <col min="15619" max="15619" width="13.28515625" style="80" customWidth="1"/>
    <col min="15620" max="15620" width="12.85546875" style="80" customWidth="1"/>
    <col min="15621" max="15621" width="11.42578125" style="80" customWidth="1"/>
    <col min="15622" max="15622" width="9.7109375" style="80" bestFit="1" customWidth="1"/>
    <col min="15623" max="15623" width="9.7109375" style="80" customWidth="1"/>
    <col min="15624" max="15624" width="9.85546875" style="80" customWidth="1"/>
    <col min="15625" max="15625" width="12" style="80" bestFit="1" customWidth="1"/>
    <col min="15626" max="15626" width="12" style="80" customWidth="1"/>
    <col min="15627" max="15627" width="8.85546875" style="80"/>
    <col min="15628" max="15628" width="10.7109375" style="80" customWidth="1"/>
    <col min="15629" max="15872" width="8.85546875" style="80"/>
    <col min="15873" max="15873" width="3.7109375" style="80" customWidth="1"/>
    <col min="15874" max="15874" width="38.5703125" style="80" customWidth="1"/>
    <col min="15875" max="15875" width="13.28515625" style="80" customWidth="1"/>
    <col min="15876" max="15876" width="12.85546875" style="80" customWidth="1"/>
    <col min="15877" max="15877" width="11.42578125" style="80" customWidth="1"/>
    <col min="15878" max="15878" width="9.7109375" style="80" bestFit="1" customWidth="1"/>
    <col min="15879" max="15879" width="9.7109375" style="80" customWidth="1"/>
    <col min="15880" max="15880" width="9.85546875" style="80" customWidth="1"/>
    <col min="15881" max="15881" width="12" style="80" bestFit="1" customWidth="1"/>
    <col min="15882" max="15882" width="12" style="80" customWidth="1"/>
    <col min="15883" max="15883" width="8.85546875" style="80"/>
    <col min="15884" max="15884" width="10.7109375" style="80" customWidth="1"/>
    <col min="15885" max="16128" width="8.85546875" style="80"/>
    <col min="16129" max="16129" width="3.7109375" style="80" customWidth="1"/>
    <col min="16130" max="16130" width="38.5703125" style="80" customWidth="1"/>
    <col min="16131" max="16131" width="13.28515625" style="80" customWidth="1"/>
    <col min="16132" max="16132" width="12.85546875" style="80" customWidth="1"/>
    <col min="16133" max="16133" width="11.42578125" style="80" customWidth="1"/>
    <col min="16134" max="16134" width="9.7109375" style="80" bestFit="1" customWidth="1"/>
    <col min="16135" max="16135" width="9.7109375" style="80" customWidth="1"/>
    <col min="16136" max="16136" width="9.85546875" style="80" customWidth="1"/>
    <col min="16137" max="16137" width="12" style="80" bestFit="1" customWidth="1"/>
    <col min="16138" max="16138" width="12" style="80" customWidth="1"/>
    <col min="16139" max="16139" width="8.85546875" style="80"/>
    <col min="16140" max="16140" width="10.7109375" style="80" customWidth="1"/>
    <col min="16141" max="16384" width="8.85546875" style="80"/>
  </cols>
  <sheetData>
    <row r="1" spans="1:8" ht="25.9" customHeight="1" x14ac:dyDescent="0.3">
      <c r="B1" s="143" t="s">
        <v>216</v>
      </c>
    </row>
    <row r="2" spans="1:8" x14ac:dyDescent="0.25">
      <c r="A2" s="81"/>
    </row>
    <row r="3" spans="1:8" x14ac:dyDescent="0.25">
      <c r="A3" s="81"/>
      <c r="B3" s="144" t="s">
        <v>160</v>
      </c>
      <c r="C3" s="145"/>
      <c r="D3" s="145"/>
      <c r="E3" s="145"/>
      <c r="F3" s="144" t="s">
        <v>31</v>
      </c>
      <c r="G3" s="145"/>
      <c r="H3" s="144"/>
    </row>
    <row r="4" spans="1:8" x14ac:dyDescent="0.25">
      <c r="A4" s="81"/>
      <c r="B4" s="146" t="s">
        <v>217</v>
      </c>
      <c r="C4" s="146">
        <f>'Data input'!C84</f>
        <v>30000</v>
      </c>
      <c r="D4" s="146"/>
      <c r="E4" s="146"/>
      <c r="F4" s="146" t="s">
        <v>218</v>
      </c>
      <c r="G4" s="146"/>
      <c r="H4" s="146"/>
    </row>
    <row r="5" spans="1:8" x14ac:dyDescent="0.25">
      <c r="A5" s="81"/>
      <c r="B5" s="146" t="s">
        <v>219</v>
      </c>
      <c r="C5" s="146">
        <v>38.6</v>
      </c>
      <c r="D5" s="146"/>
      <c r="E5" s="146"/>
      <c r="F5" s="146" t="s">
        <v>220</v>
      </c>
      <c r="G5" s="146"/>
      <c r="H5" s="146"/>
    </row>
    <row r="6" spans="1:8" x14ac:dyDescent="0.25">
      <c r="A6" s="81"/>
      <c r="B6" s="146" t="s">
        <v>221</v>
      </c>
      <c r="C6" s="146">
        <v>99</v>
      </c>
      <c r="D6" s="146"/>
      <c r="E6" s="146"/>
      <c r="F6" s="146" t="s">
        <v>60</v>
      </c>
      <c r="G6" s="146"/>
      <c r="H6" s="146"/>
    </row>
    <row r="7" spans="1:8" x14ac:dyDescent="0.25">
      <c r="A7" s="81"/>
      <c r="B7" s="146" t="s">
        <v>222</v>
      </c>
      <c r="C7" s="146">
        <v>69.900000000000006</v>
      </c>
      <c r="D7" s="146"/>
      <c r="E7" s="146"/>
      <c r="F7" s="146" t="s">
        <v>223</v>
      </c>
      <c r="G7" s="146"/>
      <c r="H7" s="146"/>
    </row>
    <row r="8" spans="1:8" x14ac:dyDescent="0.25">
      <c r="A8" s="81"/>
      <c r="B8" s="146" t="s">
        <v>224</v>
      </c>
      <c r="C8" s="146">
        <f>'Data input'!C85</f>
        <v>12000</v>
      </c>
      <c r="D8" s="146"/>
      <c r="E8" s="146"/>
      <c r="F8" s="146" t="s">
        <v>225</v>
      </c>
      <c r="G8" s="146"/>
      <c r="H8" s="146"/>
    </row>
    <row r="9" spans="1:8" x14ac:dyDescent="0.25">
      <c r="A9" s="81"/>
      <c r="B9" s="146" t="s">
        <v>226</v>
      </c>
      <c r="C9" s="146">
        <f>VLOOKUP('Data input'!J19,'Electricity &amp; Diesel'!A38:E45,5,FALSE)</f>
        <v>1E-3</v>
      </c>
      <c r="D9" s="146"/>
      <c r="E9" s="146"/>
      <c r="F9" s="147" t="s">
        <v>227</v>
      </c>
      <c r="G9" s="146"/>
      <c r="H9" s="146"/>
    </row>
    <row r="10" spans="1:8" x14ac:dyDescent="0.25">
      <c r="A10" s="81"/>
      <c r="B10" s="148"/>
      <c r="C10" s="148"/>
      <c r="D10" s="148"/>
      <c r="E10" s="148"/>
      <c r="F10" s="148"/>
      <c r="G10" s="148"/>
      <c r="H10" s="146"/>
    </row>
    <row r="11" spans="1:8" x14ac:dyDescent="0.25">
      <c r="A11" s="81"/>
      <c r="B11" s="149"/>
      <c r="C11" s="149"/>
      <c r="D11" s="149"/>
      <c r="E11" s="149"/>
      <c r="F11" s="149"/>
      <c r="G11" s="149"/>
      <c r="H11" s="146"/>
    </row>
    <row r="12" spans="1:8" x14ac:dyDescent="0.25">
      <c r="A12" s="81"/>
      <c r="B12" s="150" t="s">
        <v>228</v>
      </c>
      <c r="C12" s="150" t="s">
        <v>229</v>
      </c>
      <c r="D12" s="146"/>
      <c r="E12" s="146"/>
      <c r="F12" s="146"/>
      <c r="G12" s="146"/>
      <c r="H12" s="146"/>
    </row>
    <row r="13" spans="1:8" x14ac:dyDescent="0.25">
      <c r="A13" s="81"/>
      <c r="B13" s="150"/>
      <c r="C13" s="146" t="s">
        <v>230</v>
      </c>
      <c r="D13" s="146"/>
      <c r="E13" s="146"/>
      <c r="F13" s="146"/>
      <c r="G13" s="146"/>
      <c r="H13" s="146"/>
    </row>
    <row r="14" spans="1:8" x14ac:dyDescent="0.25">
      <c r="A14" s="81"/>
      <c r="B14" s="150"/>
      <c r="C14" s="146" t="s">
        <v>231</v>
      </c>
      <c r="D14" s="146"/>
      <c r="E14" s="146"/>
      <c r="F14" s="146"/>
      <c r="G14" s="146"/>
      <c r="H14" s="146"/>
    </row>
    <row r="15" spans="1:8" x14ac:dyDescent="0.25">
      <c r="A15" s="81"/>
      <c r="B15" s="150"/>
      <c r="C15" s="146" t="s">
        <v>232</v>
      </c>
      <c r="D15" s="146"/>
      <c r="E15" s="146"/>
      <c r="F15" s="146"/>
      <c r="G15" s="146"/>
      <c r="H15" s="146"/>
    </row>
    <row r="16" spans="1:8" x14ac:dyDescent="0.25">
      <c r="A16" s="81"/>
      <c r="B16" s="150"/>
      <c r="C16" s="146" t="s">
        <v>162</v>
      </c>
      <c r="D16" s="146"/>
      <c r="E16" s="146"/>
      <c r="F16" s="146"/>
      <c r="G16" s="146"/>
      <c r="H16" s="146"/>
    </row>
    <row r="17" spans="1:10" x14ac:dyDescent="0.25">
      <c r="A17" s="81"/>
      <c r="B17" s="150"/>
      <c r="C17" s="146"/>
      <c r="D17" s="146"/>
      <c r="E17" s="146"/>
      <c r="F17" s="146"/>
      <c r="G17" s="146"/>
      <c r="H17" s="146"/>
    </row>
    <row r="18" spans="1:10" x14ac:dyDescent="0.25">
      <c r="A18" s="81"/>
      <c r="B18" s="146"/>
      <c r="C18" s="151">
        <f>$C$4*$C$5*$C$6%*$C$7*10^-6</f>
        <v>80.134757999999991</v>
      </c>
      <c r="D18" s="146"/>
      <c r="E18" s="146"/>
      <c r="F18" s="146" t="s">
        <v>233</v>
      </c>
      <c r="G18" s="146"/>
      <c r="H18" s="146"/>
    </row>
    <row r="19" spans="1:10" x14ac:dyDescent="0.25">
      <c r="A19" s="81"/>
      <c r="B19" s="146"/>
      <c r="C19" s="146"/>
      <c r="D19" s="146"/>
      <c r="E19" s="146"/>
      <c r="F19" s="146"/>
      <c r="G19" s="146"/>
      <c r="H19" s="146"/>
    </row>
    <row r="20" spans="1:10" x14ac:dyDescent="0.25">
      <c r="A20" s="81"/>
      <c r="B20" s="152" t="s">
        <v>234</v>
      </c>
      <c r="C20" s="145"/>
      <c r="D20" s="145"/>
      <c r="E20" s="145"/>
      <c r="F20" s="145" t="s">
        <v>235</v>
      </c>
      <c r="G20" s="145"/>
      <c r="H20" s="153"/>
      <c r="I20" s="125"/>
    </row>
    <row r="21" spans="1:10" x14ac:dyDescent="0.25">
      <c r="A21" s="81"/>
      <c r="B21" s="154"/>
      <c r="C21" s="155" t="s">
        <v>236</v>
      </c>
      <c r="D21" s="155" t="s">
        <v>237</v>
      </c>
      <c r="E21" s="155" t="s">
        <v>238</v>
      </c>
      <c r="F21" s="155" t="s">
        <v>239</v>
      </c>
      <c r="G21" s="155" t="s">
        <v>240</v>
      </c>
      <c r="H21" s="156" t="s">
        <v>241</v>
      </c>
      <c r="I21" s="125"/>
    </row>
    <row r="22" spans="1:10" x14ac:dyDescent="0.25">
      <c r="A22" s="81"/>
      <c r="B22" s="157"/>
      <c r="C22" s="158">
        <v>0.01</v>
      </c>
      <c r="D22" s="158">
        <v>2E-3</v>
      </c>
      <c r="E22" s="158">
        <v>1.36</v>
      </c>
      <c r="F22" s="158">
        <v>0.54100000000000004</v>
      </c>
      <c r="G22" s="158">
        <v>0.189</v>
      </c>
      <c r="H22" s="159">
        <v>0.11600000000000001</v>
      </c>
      <c r="I22" s="125"/>
    </row>
    <row r="23" spans="1:10" x14ac:dyDescent="0.25">
      <c r="A23" s="81"/>
      <c r="B23" s="147"/>
      <c r="C23" s="155"/>
      <c r="D23" s="155"/>
      <c r="E23" s="155"/>
      <c r="F23" s="155"/>
      <c r="G23" s="155"/>
      <c r="H23" s="155"/>
      <c r="I23" s="125"/>
    </row>
    <row r="24" spans="1:10" x14ac:dyDescent="0.25">
      <c r="A24" s="81"/>
      <c r="B24" s="150" t="s">
        <v>242</v>
      </c>
      <c r="C24" s="146"/>
      <c r="D24" s="146"/>
      <c r="E24" s="146"/>
      <c r="F24" s="146" t="s">
        <v>99</v>
      </c>
      <c r="G24" s="146"/>
      <c r="H24" s="146"/>
    </row>
    <row r="25" spans="1:10" x14ac:dyDescent="0.25">
      <c r="B25" s="146"/>
      <c r="C25" s="160">
        <f t="shared" ref="C25:H25" si="0">$C$4*$C$5*$C$6%*C22*10^-6</f>
        <v>1.1464200000000001E-2</v>
      </c>
      <c r="D25" s="160">
        <f t="shared" si="0"/>
        <v>2.29284E-3</v>
      </c>
      <c r="E25" s="160">
        <f t="shared" si="0"/>
        <v>1.5591312000000002</v>
      </c>
      <c r="F25" s="160">
        <f t="shared" si="0"/>
        <v>0.62021322000000001</v>
      </c>
      <c r="G25" s="160">
        <f t="shared" si="0"/>
        <v>0.21667338</v>
      </c>
      <c r="H25" s="160">
        <f t="shared" si="0"/>
        <v>0.13298472</v>
      </c>
    </row>
    <row r="26" spans="1:10" x14ac:dyDescent="0.25">
      <c r="B26" s="150" t="s">
        <v>243</v>
      </c>
      <c r="C26" s="151">
        <f>C18+C25+D25+E25+F25+G25+H25</f>
        <v>82.677517559999984</v>
      </c>
      <c r="D26" s="160"/>
      <c r="E26" s="160"/>
      <c r="F26" s="160" t="s">
        <v>99</v>
      </c>
      <c r="G26" s="160"/>
      <c r="H26" s="160"/>
    </row>
    <row r="27" spans="1:10" x14ac:dyDescent="0.25">
      <c r="B27" s="146"/>
      <c r="C27" s="160"/>
      <c r="D27" s="160"/>
      <c r="E27" s="160"/>
      <c r="F27" s="160"/>
      <c r="G27" s="160"/>
      <c r="H27" s="160"/>
    </row>
    <row r="28" spans="1:10" x14ac:dyDescent="0.25">
      <c r="B28" s="150" t="s">
        <v>244</v>
      </c>
      <c r="C28" s="161" t="s">
        <v>245</v>
      </c>
      <c r="D28" s="160"/>
      <c r="E28" s="160"/>
      <c r="F28" s="160"/>
      <c r="G28" s="162"/>
      <c r="H28" s="162"/>
      <c r="I28" s="125"/>
      <c r="J28" s="125"/>
    </row>
    <row r="29" spans="1:10" x14ac:dyDescent="0.25">
      <c r="B29" s="146"/>
      <c r="C29" s="160" t="s">
        <v>246</v>
      </c>
      <c r="D29" s="160"/>
      <c r="E29" s="160"/>
      <c r="F29" s="160"/>
      <c r="G29" s="162"/>
      <c r="H29" s="162"/>
      <c r="I29" s="125"/>
      <c r="J29" s="125"/>
    </row>
    <row r="30" spans="1:10" x14ac:dyDescent="0.25">
      <c r="B30" s="146"/>
      <c r="C30" s="160" t="s">
        <v>153</v>
      </c>
      <c r="D30" s="160"/>
      <c r="E30" s="160"/>
      <c r="F30" s="160"/>
      <c r="G30" s="162"/>
      <c r="H30" s="162"/>
      <c r="I30" s="125"/>
      <c r="J30" s="125"/>
    </row>
    <row r="31" spans="1:10" x14ac:dyDescent="0.25">
      <c r="B31" s="146"/>
      <c r="C31" s="160"/>
      <c r="D31" s="160"/>
      <c r="E31" s="160"/>
      <c r="F31" s="160"/>
      <c r="G31" s="162"/>
      <c r="H31" s="162"/>
      <c r="I31" s="125"/>
      <c r="J31" s="125"/>
    </row>
    <row r="32" spans="1:10" x14ac:dyDescent="0.25">
      <c r="B32" s="146"/>
      <c r="C32" s="151">
        <f>C8*C9</f>
        <v>12</v>
      </c>
      <c r="D32" s="160"/>
      <c r="E32" s="163"/>
      <c r="F32" s="160" t="s">
        <v>99</v>
      </c>
      <c r="G32" s="163"/>
      <c r="H32" s="162"/>
      <c r="I32" s="125"/>
      <c r="J32" s="125"/>
    </row>
    <row r="33" spans="1:10" x14ac:dyDescent="0.25">
      <c r="B33" s="146"/>
      <c r="C33" s="151"/>
      <c r="D33" s="160"/>
      <c r="E33" s="163"/>
      <c r="F33" s="160"/>
      <c r="G33" s="163"/>
      <c r="H33" s="162"/>
      <c r="I33" s="125"/>
      <c r="J33" s="125"/>
    </row>
    <row r="34" spans="1:10" x14ac:dyDescent="0.25">
      <c r="B34" s="150" t="s">
        <v>247</v>
      </c>
      <c r="C34" s="151">
        <f>C26+C32</f>
        <v>94.677517559999984</v>
      </c>
      <c r="D34" s="160"/>
      <c r="E34" s="163"/>
      <c r="F34" s="160" t="s">
        <v>99</v>
      </c>
      <c r="G34" s="163"/>
      <c r="H34" s="162"/>
      <c r="I34" s="125"/>
      <c r="J34" s="125"/>
    </row>
    <row r="35" spans="1:10" x14ac:dyDescent="0.25">
      <c r="B35" s="146"/>
      <c r="C35" s="160"/>
      <c r="D35" s="160"/>
      <c r="E35" s="160"/>
      <c r="F35" s="160"/>
      <c r="G35" s="162"/>
      <c r="H35" s="162"/>
      <c r="I35" s="164"/>
      <c r="J35" s="125"/>
    </row>
    <row r="36" spans="1:10" x14ac:dyDescent="0.25">
      <c r="B36" s="165" t="s">
        <v>248</v>
      </c>
      <c r="C36" s="145"/>
      <c r="D36" s="145"/>
      <c r="E36" s="153"/>
      <c r="F36" s="160"/>
      <c r="G36" s="162"/>
      <c r="H36" s="162"/>
      <c r="I36" s="125"/>
      <c r="J36" s="125"/>
    </row>
    <row r="37" spans="1:10" ht="18" customHeight="1" x14ac:dyDescent="0.25">
      <c r="B37" s="166" t="s">
        <v>249</v>
      </c>
      <c r="C37" s="167" t="s">
        <v>250</v>
      </c>
      <c r="D37" s="167" t="s">
        <v>251</v>
      </c>
      <c r="E37" s="168" t="s">
        <v>252</v>
      </c>
      <c r="F37" s="160"/>
      <c r="G37" s="162"/>
      <c r="H37" s="162"/>
      <c r="I37" s="125"/>
      <c r="J37" s="125"/>
    </row>
    <row r="38" spans="1:10" ht="16.899999999999999" customHeight="1" x14ac:dyDescent="0.25">
      <c r="A38" s="80">
        <v>1</v>
      </c>
      <c r="B38" s="169" t="s">
        <v>253</v>
      </c>
      <c r="C38" s="170">
        <v>30</v>
      </c>
      <c r="D38" s="170">
        <v>1000</v>
      </c>
      <c r="E38" s="171">
        <f>D38*10^-6</f>
        <v>1E-3</v>
      </c>
      <c r="F38" s="160"/>
      <c r="G38" s="328"/>
      <c r="H38" s="329"/>
      <c r="I38" s="125"/>
      <c r="J38" s="125"/>
    </row>
    <row r="39" spans="1:10" x14ac:dyDescent="0.25">
      <c r="A39" s="80">
        <v>2</v>
      </c>
      <c r="B39" s="169" t="s">
        <v>254</v>
      </c>
      <c r="C39" s="170">
        <v>25</v>
      </c>
      <c r="D39" s="170">
        <v>1400</v>
      </c>
      <c r="E39" s="171">
        <f>D39*10^-6</f>
        <v>1.4E-3</v>
      </c>
      <c r="F39" s="160"/>
      <c r="G39" s="162"/>
      <c r="H39" s="162"/>
      <c r="I39" s="125"/>
      <c r="J39" s="125"/>
    </row>
    <row r="40" spans="1:10" x14ac:dyDescent="0.25">
      <c r="A40" s="80">
        <v>3</v>
      </c>
      <c r="B40" s="169" t="s">
        <v>255</v>
      </c>
      <c r="C40" s="170">
        <v>30</v>
      </c>
      <c r="D40" s="170">
        <v>1080</v>
      </c>
      <c r="E40" s="171">
        <f t="shared" ref="E40:E45" si="1">D40*10^-6</f>
        <v>1.08E-3</v>
      </c>
      <c r="F40" s="160"/>
      <c r="G40" s="162"/>
      <c r="H40" s="162"/>
      <c r="I40" s="125"/>
      <c r="J40" s="125"/>
    </row>
    <row r="41" spans="1:10" x14ac:dyDescent="0.25">
      <c r="A41" s="80">
        <v>4</v>
      </c>
      <c r="B41" s="169" t="s">
        <v>256</v>
      </c>
      <c r="C41" s="172">
        <v>5.9</v>
      </c>
      <c r="D41" s="172">
        <v>510</v>
      </c>
      <c r="E41" s="173">
        <f t="shared" si="1"/>
        <v>5.0999999999999993E-4</v>
      </c>
      <c r="F41" s="160"/>
      <c r="G41" s="162"/>
      <c r="H41" s="162"/>
      <c r="I41" s="125"/>
      <c r="J41" s="125"/>
    </row>
    <row r="42" spans="1:10" x14ac:dyDescent="0.25">
      <c r="A42" s="80">
        <v>5</v>
      </c>
      <c r="B42" s="169" t="s">
        <v>257</v>
      </c>
      <c r="C42" s="172">
        <v>37.549999999999997</v>
      </c>
      <c r="D42" s="172">
        <v>494</v>
      </c>
      <c r="E42" s="173">
        <f t="shared" si="1"/>
        <v>4.9399999999999997E-4</v>
      </c>
      <c r="F42" s="160"/>
      <c r="G42" s="162"/>
      <c r="H42" s="162"/>
      <c r="I42" s="125"/>
      <c r="J42" s="164"/>
    </row>
    <row r="43" spans="1:10" x14ac:dyDescent="0.25">
      <c r="A43" s="80">
        <v>6</v>
      </c>
      <c r="B43" s="169" t="s">
        <v>258</v>
      </c>
      <c r="C43" s="172">
        <v>37</v>
      </c>
      <c r="D43" s="172">
        <v>681</v>
      </c>
      <c r="E43" s="173">
        <f t="shared" si="1"/>
        <v>6.8099999999999996E-4</v>
      </c>
      <c r="F43" s="160"/>
      <c r="G43" s="162"/>
      <c r="H43" s="162"/>
      <c r="I43" s="125"/>
      <c r="J43" s="125"/>
    </row>
    <row r="44" spans="1:10" x14ac:dyDescent="0.25">
      <c r="A44" s="80">
        <v>7</v>
      </c>
      <c r="B44" s="169" t="s">
        <v>259</v>
      </c>
      <c r="C44" s="172">
        <v>83.8</v>
      </c>
      <c r="D44" s="172">
        <v>314</v>
      </c>
      <c r="E44" s="173">
        <f t="shared" si="1"/>
        <v>3.1399999999999999E-4</v>
      </c>
      <c r="F44" s="160"/>
      <c r="G44" s="162"/>
      <c r="H44" s="162"/>
      <c r="I44" s="125"/>
      <c r="J44" s="125"/>
    </row>
    <row r="45" spans="1:10" x14ac:dyDescent="0.25">
      <c r="A45" s="80">
        <v>8</v>
      </c>
      <c r="B45" s="174" t="s">
        <v>260</v>
      </c>
      <c r="C45" s="149"/>
      <c r="D45" s="175">
        <v>0</v>
      </c>
      <c r="E45" s="176">
        <f t="shared" si="1"/>
        <v>0</v>
      </c>
      <c r="F45" s="177"/>
      <c r="G45" s="177"/>
      <c r="H45" s="177"/>
    </row>
    <row r="46" spans="1:10" x14ac:dyDescent="0.25">
      <c r="C46" s="178"/>
      <c r="D46" s="178"/>
      <c r="E46" s="178"/>
      <c r="F46" s="178"/>
      <c r="G46" s="178"/>
      <c r="H46" s="178"/>
    </row>
  </sheetData>
  <sheetProtection sheet="1" objects="1" scenarios="1"/>
  <mergeCells count="1">
    <mergeCell ref="G38:H38"/>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vt:lpstr>
      <vt:lpstr>Data summary</vt:lpstr>
      <vt:lpstr>Data input</vt:lpstr>
      <vt:lpstr>Enteric fermentation</vt:lpstr>
      <vt:lpstr>Manure management</vt:lpstr>
      <vt:lpstr>Nitrous oxide MMS</vt:lpstr>
      <vt:lpstr>Agricultural soils</vt:lpstr>
      <vt:lpstr>Trees</vt:lpstr>
      <vt:lpstr>Electricity &amp; Diesel</vt:lpstr>
      <vt:lpstr>'Data summary'!Print_Area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2013-07-25T23:32:11Z</dcterms:modified>
</cp:coreProperties>
</file>