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jeckard\Documents\My Webs\GIA\excel_files\"/>
    </mc:Choice>
  </mc:AlternateContent>
  <bookViews>
    <workbookView xWindow="0" yWindow="0" windowWidth="36300" windowHeight="18765" tabRatio="835"/>
  </bookViews>
  <sheets>
    <sheet name="Data summary" sheetId="1" r:id="rId1"/>
    <sheet name="Data input" sheetId="2" r:id="rId2"/>
    <sheet name="Fuel" sheetId="3" state="hidden" r:id="rId3"/>
    <sheet name="Fertiliser" sheetId="12" r:id="rId4"/>
    <sheet name="Urea Application" sheetId="19" r:id="rId5"/>
    <sheet name="Crop Residues" sheetId="4" r:id="rId6"/>
    <sheet name="Atmospheric deposition" sheetId="13" r:id="rId7"/>
    <sheet name="Leaching and runoff" sheetId="15" r:id="rId8"/>
    <sheet name="Field burning" sheetId="9" r:id="rId9"/>
    <sheet name="Liming" sheetId="18" r:id="rId10"/>
    <sheet name="Electricity &amp; Diesel" sheetId="11" r:id="rId11"/>
    <sheet name="GWP Factors" sheetId="17" r:id="rId12"/>
  </sheets>
  <definedNames>
    <definedName name="Crop1">'Data summary'!$C$5</definedName>
    <definedName name="Crop2">'Data summary'!$D$5</definedName>
    <definedName name="Crop3">'Data summary'!$E$5</definedName>
    <definedName name="Crop4">'Data summary'!$F$5</definedName>
    <definedName name="Crops">'Crop Residues'!$O$19:$O$30</definedName>
    <definedName name="_xlnm.Print_Area" localSheetId="1">'Data input'!$B$1:$E$74</definedName>
    <definedName name="_xlnm.Print_Area" localSheetId="0">'Data summary'!$B$1:$L$24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1" l="1"/>
  <c r="L13" i="11"/>
  <c r="D35" i="11"/>
  <c r="W27" i="11"/>
  <c r="W34" i="11"/>
  <c r="W30" i="11"/>
  <c r="W31" i="11"/>
  <c r="W32" i="11"/>
  <c r="W33" i="11"/>
  <c r="W35" i="11"/>
  <c r="P35" i="11"/>
  <c r="P34" i="11"/>
  <c r="D45" i="11"/>
  <c r="O35" i="11"/>
  <c r="O34" i="11"/>
  <c r="D44" i="11"/>
  <c r="N35" i="11"/>
  <c r="N34" i="11"/>
  <c r="D43" i="11"/>
  <c r="M34" i="11"/>
  <c r="D42" i="11"/>
  <c r="L35" i="11"/>
  <c r="L34" i="11"/>
  <c r="D41" i="11"/>
  <c r="P21" i="11"/>
  <c r="C45" i="11"/>
  <c r="O22" i="11"/>
  <c r="O21" i="11"/>
  <c r="C44" i="11"/>
  <c r="N22" i="11"/>
  <c r="N21" i="11"/>
  <c r="C43" i="11"/>
  <c r="M21" i="11"/>
  <c r="C42" i="11"/>
  <c r="L22" i="11"/>
  <c r="L21" i="11"/>
  <c r="C41" i="11"/>
  <c r="C76" i="11"/>
  <c r="C77" i="11"/>
  <c r="C88" i="11"/>
  <c r="C60" i="11"/>
  <c r="C61" i="11"/>
  <c r="C72" i="11"/>
  <c r="C91" i="11"/>
  <c r="J14" i="1"/>
  <c r="C87" i="11"/>
  <c r="C71" i="11"/>
  <c r="C90" i="11"/>
  <c r="J8" i="1"/>
  <c r="C33" i="11"/>
  <c r="C36" i="11"/>
  <c r="C37" i="11"/>
  <c r="C48" i="11"/>
  <c r="M26" i="11"/>
  <c r="M25" i="11"/>
  <c r="AA31" i="11"/>
  <c r="AA30" i="11"/>
  <c r="AA32" i="11"/>
  <c r="AA33" i="11"/>
  <c r="AA27" i="11"/>
  <c r="AA34" i="11"/>
  <c r="AA35" i="11"/>
  <c r="M39" i="11"/>
  <c r="Z31" i="11"/>
  <c r="Z30" i="11"/>
  <c r="Z32" i="11"/>
  <c r="Z33" i="11"/>
  <c r="Z27" i="11"/>
  <c r="Z34" i="11"/>
  <c r="Z35" i="11"/>
  <c r="M38" i="11"/>
  <c r="C49" i="11"/>
  <c r="N26" i="11"/>
  <c r="N25" i="11"/>
  <c r="N39" i="11"/>
  <c r="N38" i="11"/>
  <c r="C50" i="11"/>
  <c r="O25" i="11"/>
  <c r="O38" i="11"/>
  <c r="C51" i="11"/>
  <c r="P39" i="11"/>
  <c r="P38" i="11"/>
  <c r="C52" i="11"/>
  <c r="C54" i="11"/>
  <c r="C55" i="11"/>
  <c r="C19" i="11"/>
  <c r="C29" i="11"/>
  <c r="C5" i="11"/>
  <c r="C15" i="11"/>
  <c r="C57" i="11"/>
  <c r="J4" i="1"/>
  <c r="AC27" i="11"/>
  <c r="AC34" i="11"/>
  <c r="AC30" i="11"/>
  <c r="AC31" i="11"/>
  <c r="AC32" i="11"/>
  <c r="AC33" i="11"/>
  <c r="AC35" i="11"/>
  <c r="P42" i="11"/>
  <c r="P41" i="11"/>
  <c r="AB27" i="11"/>
  <c r="AB34" i="11"/>
  <c r="AB30" i="11"/>
  <c r="AB31" i="11"/>
  <c r="AB32" i="11"/>
  <c r="AB33" i="11"/>
  <c r="AB35" i="11"/>
  <c r="P40" i="11"/>
  <c r="Y27" i="11"/>
  <c r="Y34" i="11"/>
  <c r="Y30" i="11"/>
  <c r="Y31" i="11"/>
  <c r="Y32" i="11"/>
  <c r="Y33" i="11"/>
  <c r="Y35" i="11"/>
  <c r="P37" i="11"/>
  <c r="X27" i="11"/>
  <c r="X34" i="11"/>
  <c r="X30" i="11"/>
  <c r="X31" i="11"/>
  <c r="X32" i="11"/>
  <c r="X33" i="11"/>
  <c r="X35" i="11"/>
  <c r="P36" i="11"/>
  <c r="O42" i="11"/>
  <c r="O41" i="11"/>
  <c r="O40" i="11"/>
  <c r="O37" i="11"/>
  <c r="N42" i="11"/>
  <c r="N41" i="11"/>
  <c r="N40" i="11"/>
  <c r="N37" i="11"/>
  <c r="N36" i="11"/>
  <c r="L40" i="11"/>
  <c r="L37" i="11"/>
  <c r="AD7" i="11"/>
  <c r="AD10" i="11"/>
  <c r="AD11" i="11"/>
  <c r="AD14" i="11"/>
  <c r="AD15" i="11"/>
  <c r="AD32" i="11"/>
  <c r="AD12" i="11"/>
  <c r="AD33" i="11"/>
  <c r="AD5" i="11"/>
  <c r="AD30" i="11"/>
  <c r="AD6" i="11"/>
  <c r="AD31" i="11"/>
  <c r="AD20" i="11"/>
  <c r="AD21" i="11"/>
  <c r="AD22" i="11"/>
  <c r="AD23" i="11"/>
  <c r="AD24" i="11"/>
  <c r="AD25" i="11"/>
  <c r="AD26" i="11"/>
  <c r="AD27" i="11"/>
  <c r="AD34" i="11"/>
  <c r="AD35" i="11"/>
  <c r="AD8" i="11"/>
  <c r="AD9" i="11"/>
  <c r="AD13" i="11"/>
  <c r="AD16" i="11"/>
  <c r="AC16" i="11"/>
  <c r="AB16" i="11"/>
  <c r="AA16" i="11"/>
  <c r="Z16" i="11"/>
  <c r="Y16" i="11"/>
  <c r="X16" i="11"/>
  <c r="W16" i="11"/>
  <c r="O29" i="11"/>
  <c r="N29" i="11"/>
  <c r="O28" i="11"/>
  <c r="N28" i="11"/>
  <c r="O27" i="11"/>
  <c r="N27" i="11"/>
  <c r="L27" i="11"/>
  <c r="O24" i="11"/>
  <c r="N24" i="11"/>
  <c r="L24" i="11"/>
  <c r="N23" i="11"/>
  <c r="L55" i="4"/>
  <c r="C3" i="4"/>
  <c r="C13" i="4"/>
  <c r="K55" i="4"/>
  <c r="C12" i="4"/>
  <c r="C34" i="11"/>
  <c r="D36" i="11"/>
  <c r="D6" i="4"/>
  <c r="D5" i="9"/>
  <c r="D3" i="4"/>
  <c r="D7" i="4"/>
  <c r="D7" i="9"/>
  <c r="D14" i="4"/>
  <c r="D8" i="9"/>
  <c r="D9" i="4"/>
  <c r="D9" i="9"/>
  <c r="D6" i="9"/>
  <c r="D22" i="9"/>
  <c r="D15" i="4"/>
  <c r="D11" i="9"/>
  <c r="C14" i="17"/>
  <c r="E27" i="9"/>
  <c r="D29" i="9"/>
  <c r="E6" i="4"/>
  <c r="E5" i="9"/>
  <c r="E3" i="4"/>
  <c r="E7" i="4"/>
  <c r="E7" i="9"/>
  <c r="E14" i="4"/>
  <c r="E8" i="9"/>
  <c r="E9" i="4"/>
  <c r="E9" i="9"/>
  <c r="E6" i="9"/>
  <c r="E22" i="9"/>
  <c r="E15" i="4"/>
  <c r="E11" i="9"/>
  <c r="E29" i="9"/>
  <c r="F6" i="4"/>
  <c r="F5" i="9"/>
  <c r="F3" i="4"/>
  <c r="F7" i="4"/>
  <c r="F7" i="9"/>
  <c r="F14" i="4"/>
  <c r="F8" i="9"/>
  <c r="F9" i="4"/>
  <c r="F9" i="9"/>
  <c r="F6" i="9"/>
  <c r="F22" i="9"/>
  <c r="F15" i="4"/>
  <c r="F11" i="9"/>
  <c r="F29" i="9"/>
  <c r="C6" i="4"/>
  <c r="C5" i="9"/>
  <c r="C7" i="4"/>
  <c r="C7" i="9"/>
  <c r="C14" i="4"/>
  <c r="C8" i="9"/>
  <c r="C9" i="4"/>
  <c r="C9" i="9"/>
  <c r="C6" i="9"/>
  <c r="C22" i="9"/>
  <c r="C15" i="4"/>
  <c r="C11" i="9"/>
  <c r="C29" i="9"/>
  <c r="C15" i="15"/>
  <c r="C16" i="15"/>
  <c r="C10" i="4"/>
  <c r="C8" i="4"/>
  <c r="C11" i="4"/>
  <c r="C28" i="4"/>
  <c r="C8" i="15"/>
  <c r="B43" i="15"/>
  <c r="C43" i="15"/>
  <c r="C10" i="12"/>
  <c r="B64" i="12"/>
  <c r="C64" i="12"/>
  <c r="C9" i="12"/>
  <c r="C4" i="4"/>
  <c r="C14" i="15"/>
  <c r="C17" i="15"/>
  <c r="C20" i="15"/>
  <c r="C11" i="12"/>
  <c r="C12" i="12"/>
  <c r="C13" i="12"/>
  <c r="C6" i="15"/>
  <c r="C19" i="15"/>
  <c r="D15" i="15"/>
  <c r="D16" i="15"/>
  <c r="E15" i="15"/>
  <c r="E16" i="15"/>
  <c r="F15" i="15"/>
  <c r="F16" i="15"/>
  <c r="D12" i="4"/>
  <c r="D13" i="4"/>
  <c r="D10" i="4"/>
  <c r="D8" i="4"/>
  <c r="D11" i="4"/>
  <c r="D28" i="4"/>
  <c r="D8" i="15"/>
  <c r="D10" i="12"/>
  <c r="D9" i="12"/>
  <c r="D4" i="4"/>
  <c r="D14" i="15"/>
  <c r="D17" i="15"/>
  <c r="D20" i="15"/>
  <c r="E12" i="4"/>
  <c r="E13" i="4"/>
  <c r="E10" i="4"/>
  <c r="E8" i="4"/>
  <c r="E11" i="4"/>
  <c r="E28" i="4"/>
  <c r="E8" i="15"/>
  <c r="D43" i="15"/>
  <c r="E10" i="12"/>
  <c r="B65" i="12"/>
  <c r="C65" i="12"/>
  <c r="E9" i="12"/>
  <c r="E4" i="4"/>
  <c r="E14" i="15"/>
  <c r="E17" i="15"/>
  <c r="E20" i="15"/>
  <c r="F12" i="4"/>
  <c r="F13" i="4"/>
  <c r="F10" i="4"/>
  <c r="F8" i="4"/>
  <c r="F11" i="4"/>
  <c r="F28" i="4"/>
  <c r="F8" i="15"/>
  <c r="F10" i="12"/>
  <c r="F9" i="12"/>
  <c r="F4" i="4"/>
  <c r="F14" i="15"/>
  <c r="F17" i="15"/>
  <c r="F20" i="15"/>
  <c r="C56" i="12"/>
  <c r="C7" i="15"/>
  <c r="C21" i="15"/>
  <c r="E26" i="15"/>
  <c r="C28" i="15"/>
  <c r="D11" i="12"/>
  <c r="D12" i="12"/>
  <c r="D13" i="12"/>
  <c r="D6" i="15"/>
  <c r="D19" i="15"/>
  <c r="D56" i="12"/>
  <c r="D7" i="15"/>
  <c r="D21" i="15"/>
  <c r="D28" i="15"/>
  <c r="E11" i="12"/>
  <c r="E12" i="12"/>
  <c r="E13" i="12"/>
  <c r="E6" i="15"/>
  <c r="E19" i="15"/>
  <c r="E56" i="12"/>
  <c r="E7" i="15"/>
  <c r="E21" i="15"/>
  <c r="E28" i="15"/>
  <c r="F11" i="12"/>
  <c r="F12" i="12"/>
  <c r="F13" i="12"/>
  <c r="F6" i="15"/>
  <c r="F19" i="15"/>
  <c r="F56" i="12"/>
  <c r="F7" i="15"/>
  <c r="F21" i="15"/>
  <c r="F28" i="15"/>
  <c r="C29" i="15"/>
  <c r="C30" i="15"/>
  <c r="C31" i="15"/>
  <c r="C11" i="13"/>
  <c r="C34" i="12"/>
  <c r="C35" i="12"/>
  <c r="C37" i="12"/>
  <c r="C36" i="12"/>
  <c r="C41" i="12"/>
  <c r="C16" i="13"/>
  <c r="C15" i="17"/>
  <c r="C17" i="13"/>
  <c r="C18" i="13"/>
  <c r="C12" i="13"/>
  <c r="C22" i="13"/>
  <c r="C23" i="13"/>
  <c r="C24" i="13"/>
  <c r="C26" i="13"/>
  <c r="D11" i="13"/>
  <c r="D12" i="13"/>
  <c r="D34" i="12"/>
  <c r="D35" i="12"/>
  <c r="D36" i="12"/>
  <c r="D41" i="12"/>
  <c r="D16" i="13"/>
  <c r="D18" i="13"/>
  <c r="D24" i="13"/>
  <c r="D26" i="13"/>
  <c r="E11" i="13"/>
  <c r="E12" i="13"/>
  <c r="E34" i="12"/>
  <c r="E35" i="12"/>
  <c r="E37" i="12"/>
  <c r="E41" i="12"/>
  <c r="E16" i="13"/>
  <c r="E18" i="13"/>
  <c r="E24" i="13"/>
  <c r="E26" i="13"/>
  <c r="F11" i="13"/>
  <c r="F12" i="13"/>
  <c r="F34" i="12"/>
  <c r="F35" i="12"/>
  <c r="F37" i="12"/>
  <c r="F41" i="12"/>
  <c r="F16" i="13"/>
  <c r="F18" i="13"/>
  <c r="F24" i="13"/>
  <c r="F26" i="13"/>
  <c r="C27" i="13"/>
  <c r="D6" i="19"/>
  <c r="D7" i="19"/>
  <c r="D8" i="19"/>
  <c r="C13" i="17"/>
  <c r="D15" i="19"/>
  <c r="D16" i="19"/>
  <c r="E6" i="19"/>
  <c r="E7" i="19"/>
  <c r="E8" i="19"/>
  <c r="E16" i="19"/>
  <c r="F6" i="19"/>
  <c r="F7" i="19"/>
  <c r="F8" i="19"/>
  <c r="F16" i="19"/>
  <c r="C6" i="19"/>
  <c r="C7" i="19"/>
  <c r="C8" i="19"/>
  <c r="C16" i="19"/>
  <c r="D22" i="12"/>
  <c r="D43" i="12"/>
  <c r="E43" i="12"/>
  <c r="F43" i="12"/>
  <c r="C43" i="12"/>
  <c r="E5" i="18"/>
  <c r="F5" i="18"/>
  <c r="G5" i="18"/>
  <c r="H5" i="18"/>
  <c r="E6" i="18"/>
  <c r="E11" i="18"/>
  <c r="E15" i="18"/>
  <c r="E16" i="18"/>
  <c r="F40" i="12"/>
  <c r="F39" i="12"/>
  <c r="F38" i="12"/>
  <c r="E40" i="12"/>
  <c r="E39" i="12"/>
  <c r="E38" i="12"/>
  <c r="D40" i="12"/>
  <c r="D39" i="12"/>
  <c r="D38" i="12"/>
  <c r="D37" i="12"/>
  <c r="C40" i="12"/>
  <c r="C38" i="12"/>
  <c r="C39" i="12"/>
  <c r="F36" i="12"/>
  <c r="E36" i="12"/>
  <c r="D3" i="12"/>
  <c r="D33" i="12"/>
  <c r="E3" i="12"/>
  <c r="E33" i="12"/>
  <c r="F3" i="12"/>
  <c r="F33" i="12"/>
  <c r="C3" i="12"/>
  <c r="C33" i="12"/>
  <c r="D6" i="1"/>
  <c r="B66" i="12"/>
  <c r="B67" i="12"/>
  <c r="B68" i="12"/>
  <c r="E6" i="1"/>
  <c r="F6" i="1"/>
  <c r="C6" i="1"/>
  <c r="D5" i="1"/>
  <c r="E5" i="1"/>
  <c r="F5" i="1"/>
  <c r="C5" i="1"/>
  <c r="F4" i="18"/>
  <c r="G4" i="18"/>
  <c r="H4" i="18"/>
  <c r="E4" i="18"/>
  <c r="D5" i="13"/>
  <c r="E5" i="13"/>
  <c r="F5" i="13"/>
  <c r="C5" i="13"/>
  <c r="D5" i="19"/>
  <c r="E5" i="19"/>
  <c r="F5" i="19"/>
  <c r="C5" i="19"/>
  <c r="D3" i="19"/>
  <c r="E3" i="19"/>
  <c r="F3" i="19"/>
  <c r="C3" i="19"/>
  <c r="D19" i="1"/>
  <c r="E19" i="1"/>
  <c r="F19" i="1"/>
  <c r="G19" i="1"/>
  <c r="C19" i="1"/>
  <c r="L41" i="4"/>
  <c r="D18" i="1"/>
  <c r="E18" i="1"/>
  <c r="F18" i="1"/>
  <c r="G18" i="1"/>
  <c r="L44" i="4"/>
  <c r="C18" i="1"/>
  <c r="D17" i="1"/>
  <c r="E17" i="1"/>
  <c r="F17" i="1"/>
  <c r="G17" i="1"/>
  <c r="C17" i="1"/>
  <c r="K41" i="4"/>
  <c r="D16" i="1"/>
  <c r="E16" i="1"/>
  <c r="F16" i="1"/>
  <c r="G16" i="1"/>
  <c r="K44" i="4"/>
  <c r="C16" i="1"/>
  <c r="D15" i="1"/>
  <c r="E15" i="1"/>
  <c r="F15" i="1"/>
  <c r="G15" i="1"/>
  <c r="C15" i="1"/>
  <c r="D14" i="1"/>
  <c r="E14" i="1"/>
  <c r="F14" i="1"/>
  <c r="G14" i="1"/>
  <c r="C14" i="1"/>
  <c r="D13" i="1"/>
  <c r="E13" i="1"/>
  <c r="F13" i="1"/>
  <c r="G13" i="1"/>
  <c r="C13" i="1"/>
  <c r="G12" i="1"/>
  <c r="D12" i="1"/>
  <c r="E12" i="1"/>
  <c r="F12" i="1"/>
  <c r="C12" i="1"/>
  <c r="D12" i="9"/>
  <c r="E12" i="9"/>
  <c r="F12" i="9"/>
  <c r="C12" i="9"/>
  <c r="D3" i="9"/>
  <c r="E3" i="9"/>
  <c r="F3" i="9"/>
  <c r="C3" i="9"/>
  <c r="D5" i="15"/>
  <c r="E5" i="15"/>
  <c r="F5" i="15"/>
  <c r="C5" i="15"/>
  <c r="C66" i="12"/>
  <c r="C67" i="12"/>
  <c r="C68" i="12"/>
  <c r="D11" i="1"/>
  <c r="E11" i="1"/>
  <c r="F11" i="1"/>
  <c r="G11" i="1"/>
  <c r="C11" i="1"/>
  <c r="K42" i="4"/>
  <c r="L42" i="4"/>
  <c r="K43" i="4"/>
  <c r="L43" i="4"/>
  <c r="K46" i="4"/>
  <c r="L46" i="4"/>
  <c r="K47" i="4"/>
  <c r="L47" i="4"/>
  <c r="K48" i="4"/>
  <c r="L48" i="4"/>
  <c r="K49" i="4"/>
  <c r="L49" i="4"/>
  <c r="K51" i="4"/>
  <c r="L51" i="4"/>
  <c r="K52" i="4"/>
  <c r="L52" i="4"/>
  <c r="G43" i="15"/>
  <c r="F43" i="15"/>
  <c r="E43" i="15"/>
  <c r="D36" i="9"/>
  <c r="C38" i="9"/>
  <c r="D38" i="9"/>
  <c r="E38" i="9"/>
  <c r="F38" i="9"/>
  <c r="C39" i="9"/>
  <c r="C40" i="9"/>
  <c r="C41" i="9"/>
  <c r="J13" i="1"/>
  <c r="C30" i="9"/>
  <c r="C31" i="9"/>
  <c r="C32" i="9"/>
  <c r="J7" i="1"/>
  <c r="C44" i="12"/>
  <c r="C45" i="12"/>
  <c r="C4" i="1"/>
  <c r="C20" i="1"/>
  <c r="C21" i="1"/>
  <c r="L4" i="1"/>
  <c r="H6" i="18"/>
  <c r="G6" i="18"/>
  <c r="F6" i="18"/>
  <c r="C28" i="13"/>
  <c r="C18" i="19"/>
  <c r="C20" i="19"/>
  <c r="G18" i="19"/>
  <c r="G7" i="19"/>
  <c r="J6" i="1"/>
  <c r="G6" i="19"/>
  <c r="C23" i="1"/>
  <c r="D52" i="12"/>
  <c r="C57" i="12"/>
  <c r="D57" i="12"/>
  <c r="E57" i="12"/>
  <c r="F57" i="12"/>
  <c r="C58" i="12"/>
  <c r="C59" i="12"/>
  <c r="C60" i="12"/>
  <c r="C46" i="12"/>
  <c r="C61" i="12"/>
  <c r="J9" i="1"/>
  <c r="E32" i="4"/>
  <c r="C34" i="4"/>
  <c r="D34" i="4"/>
  <c r="E34" i="4"/>
  <c r="F34" i="4"/>
  <c r="C35" i="4"/>
  <c r="C36" i="4"/>
  <c r="C37" i="4"/>
  <c r="J10" i="1"/>
  <c r="C29" i="13"/>
  <c r="J11" i="1"/>
  <c r="J12" i="1"/>
  <c r="L6" i="1"/>
  <c r="L5" i="1"/>
  <c r="J5" i="1"/>
  <c r="D55" i="12"/>
  <c r="E55" i="12"/>
  <c r="F55" i="12"/>
  <c r="C55" i="12"/>
  <c r="J15" i="1"/>
  <c r="C19" i="17"/>
  <c r="C18" i="17"/>
  <c r="C17" i="17"/>
  <c r="C16" i="17"/>
  <c r="F10" i="1"/>
  <c r="C10" i="1"/>
  <c r="G20" i="1"/>
  <c r="C22" i="1"/>
  <c r="B10" i="1"/>
  <c r="G11" i="12"/>
  <c r="G12" i="12"/>
  <c r="D10" i="1"/>
  <c r="E10" i="1"/>
  <c r="D9" i="1"/>
  <c r="E9" i="1"/>
  <c r="F9" i="1"/>
  <c r="G9" i="1"/>
  <c r="C9" i="1"/>
  <c r="D7" i="1"/>
  <c r="E7" i="1"/>
  <c r="F7" i="1"/>
  <c r="G7" i="1"/>
  <c r="D8" i="1"/>
  <c r="E8" i="1"/>
  <c r="F8" i="1"/>
  <c r="G8" i="1"/>
  <c r="C8" i="1"/>
  <c r="C7" i="1"/>
  <c r="C3" i="1"/>
  <c r="L3" i="1"/>
  <c r="D4" i="3"/>
  <c r="D6" i="3"/>
  <c r="E4" i="3"/>
  <c r="E6" i="3"/>
  <c r="E13" i="3"/>
  <c r="F4" i="3"/>
  <c r="F6" i="3"/>
  <c r="E14" i="3"/>
  <c r="F14" i="3"/>
  <c r="D14" i="3"/>
  <c r="G14" i="3"/>
  <c r="D13" i="3"/>
  <c r="D15" i="3"/>
  <c r="G15" i="3"/>
  <c r="F15" i="3"/>
  <c r="F13" i="3"/>
  <c r="F16" i="3"/>
  <c r="E15" i="3"/>
  <c r="E16" i="3"/>
  <c r="D16" i="3"/>
  <c r="G16" i="3"/>
  <c r="G13" i="3"/>
</calcChain>
</file>

<file path=xl/comments1.xml><?xml version="1.0" encoding="utf-8"?>
<comments xmlns="http://schemas.openxmlformats.org/spreadsheetml/2006/main">
  <authors>
    <author>Seyda Ozkan</author>
    <author xml:space="preserve"> Richard Eckard</author>
    <author>Richard Eckard</author>
  </authors>
  <commentList>
    <comment ref="C1" authorId="0" shapeId="0">
      <text>
        <r>
          <rPr>
            <sz val="8"/>
            <color indexed="81"/>
            <rFont val="Tahoma"/>
            <family val="2"/>
          </rPr>
          <t>Type the name of your farm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click on crop names to the right and then use drop down box to select the crop.</t>
        </r>
      </text>
    </comment>
    <comment ref="B10" authorId="1" shapeId="0">
      <text>
        <r>
          <rPr>
            <sz val="8"/>
            <color indexed="81"/>
            <rFont val="Tahoma"/>
            <family val="2"/>
          </rPr>
          <t xml:space="preserve">For grain crops, enter actual grain yield. For pasture legumes (eg. Lucerne) enter total DM yield.  
</t>
        </r>
      </text>
    </comment>
    <comment ref="B12" authorId="2" shapeId="0">
      <text>
        <r>
          <rPr>
            <sz val="8"/>
            <color indexed="81"/>
            <rFont val="Tahoma"/>
            <family val="2"/>
          </rPr>
          <t>Enter kg of Nitrogen NOT product. Eg. Urea is 46%N, DAP is 18% 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>How many litres of diesel did the farm use last year?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What was your total annual electricity bill for the year in KWh?</t>
        </r>
      </text>
    </comment>
  </commentList>
</comments>
</file>

<file path=xl/comments2.xml><?xml version="1.0" encoding="utf-8"?>
<comments xmlns="http://schemas.openxmlformats.org/spreadsheetml/2006/main">
  <authors>
    <author>Seyda Ozkan</author>
  </authors>
  <commentList>
    <comment ref="H33" authorId="0" shapeId="0">
      <text>
        <r>
          <rPr>
            <sz val="8"/>
            <color indexed="81"/>
            <rFont val="Tahoma"/>
            <family val="2"/>
          </rPr>
          <t>For further information, please refer to the comment in data input page where Et/P ratio is questioned.</t>
        </r>
      </text>
    </comment>
  </commentList>
</comments>
</file>

<file path=xl/sharedStrings.xml><?xml version="1.0" encoding="utf-8"?>
<sst xmlns="http://schemas.openxmlformats.org/spreadsheetml/2006/main" count="1403" uniqueCount="658">
  <si>
    <t>Fuel type</t>
  </si>
  <si>
    <t>Auto diesel</t>
  </si>
  <si>
    <t>Petrol</t>
  </si>
  <si>
    <t>LPG</t>
  </si>
  <si>
    <t>Quantity used (off-road)</t>
  </si>
  <si>
    <t>litres</t>
  </si>
  <si>
    <t>tonnes</t>
  </si>
  <si>
    <t>Nitrogen Fertiliser Use</t>
  </si>
  <si>
    <t>%</t>
  </si>
  <si>
    <t>kg</t>
  </si>
  <si>
    <t>Energy - Fuel Combustion</t>
  </si>
  <si>
    <t>Total</t>
  </si>
  <si>
    <t xml:space="preserve">Energy density </t>
  </si>
  <si>
    <t xml:space="preserve">Energy consumption </t>
  </si>
  <si>
    <t>Oxidised</t>
  </si>
  <si>
    <t>Emission factors</t>
  </si>
  <si>
    <r>
      <t xml:space="preserve"> - CO</t>
    </r>
    <r>
      <rPr>
        <vertAlign val="subscript"/>
        <sz val="10"/>
        <rFont val="Arial"/>
        <family val="2"/>
      </rPr>
      <t>2</t>
    </r>
  </si>
  <si>
    <t>g/Mj</t>
  </si>
  <si>
    <r>
      <t xml:space="preserve"> - CH</t>
    </r>
    <r>
      <rPr>
        <vertAlign val="subscript"/>
        <sz val="10"/>
        <rFont val="Arial"/>
        <family val="2"/>
      </rPr>
      <t>4</t>
    </r>
  </si>
  <si>
    <r>
      <t xml:space="preserve"> - N</t>
    </r>
    <r>
      <rPr>
        <vertAlign val="subscript"/>
        <sz val="10"/>
        <rFont val="Arial"/>
        <family val="2"/>
      </rPr>
      <t>2</t>
    </r>
    <r>
      <rPr>
        <sz val="9"/>
        <rFont val="Arial"/>
        <family val="2"/>
      </rPr>
      <t>0</t>
    </r>
  </si>
  <si>
    <t>Emissions</t>
  </si>
  <si>
    <t>CO2-e</t>
  </si>
  <si>
    <t>Wheat</t>
  </si>
  <si>
    <t>Mj/l</t>
  </si>
  <si>
    <t>Mj</t>
  </si>
  <si>
    <t>Units</t>
  </si>
  <si>
    <t>Pulses</t>
  </si>
  <si>
    <t>Maize</t>
  </si>
  <si>
    <t>Outputs</t>
  </si>
  <si>
    <t>Summary</t>
  </si>
  <si>
    <t>Net Farm Emissions</t>
  </si>
  <si>
    <t>Farm Name</t>
  </si>
  <si>
    <t>Gg</t>
  </si>
  <si>
    <t>Gg N</t>
  </si>
  <si>
    <t>Barley</t>
  </si>
  <si>
    <t>Oats</t>
  </si>
  <si>
    <t>Rice</t>
  </si>
  <si>
    <t>Sorghum</t>
  </si>
  <si>
    <t>Triticale</t>
  </si>
  <si>
    <t>Tuber and Roots</t>
  </si>
  <si>
    <t>Sugar cane</t>
  </si>
  <si>
    <t>Peanuts</t>
  </si>
  <si>
    <t>EF</t>
  </si>
  <si>
    <t>Cg</t>
  </si>
  <si>
    <t>Grains Greenhouse Accounting Framework</t>
  </si>
  <si>
    <t>Farm cropping details</t>
  </si>
  <si>
    <t>Note no input can be made from this page - to input your data go to the Data input tab</t>
  </si>
  <si>
    <t>t/ha</t>
  </si>
  <si>
    <t>ha/farm</t>
  </si>
  <si>
    <t>kg N/ha</t>
  </si>
  <si>
    <t xml:space="preserve">Average grain yield </t>
  </si>
  <si>
    <t>Average grain yield</t>
  </si>
  <si>
    <t>Area sown</t>
  </si>
  <si>
    <t>Data input</t>
  </si>
  <si>
    <t>The mass of fuel burnt (M)</t>
  </si>
  <si>
    <t>M = P x R x S x DM x Z x F</t>
  </si>
  <si>
    <t>P = annual production of crop</t>
  </si>
  <si>
    <t>4F_1</t>
  </si>
  <si>
    <t>R = residue to crop ratio</t>
  </si>
  <si>
    <t>kg crop residue/kg crop</t>
  </si>
  <si>
    <t>S = fraction of crop residue remaining at burning</t>
  </si>
  <si>
    <t>DM = dry matter content</t>
  </si>
  <si>
    <t>kg dry weight/kg crop residue</t>
  </si>
  <si>
    <t>fuel burnt/fuel load</t>
  </si>
  <si>
    <t>Z = burning efficiency for residue from crop</t>
  </si>
  <si>
    <t>F = fraction of the annual production of crop that is burnt</t>
  </si>
  <si>
    <t>ha burnt/ha harvested</t>
  </si>
  <si>
    <t>Residue to crop ratio R</t>
  </si>
  <si>
    <t>Appendix 6.I</t>
  </si>
  <si>
    <t>DM content</t>
  </si>
  <si>
    <t>Fraction of crop residue remaining at burning (S)</t>
  </si>
  <si>
    <t>Burning efficiency for residue from crop (Z)</t>
  </si>
  <si>
    <t>Fraction of the annual production of crop that is burnt (F)</t>
  </si>
  <si>
    <t>E = M x CC x EF x Cg</t>
  </si>
  <si>
    <t>CC = carbon mass fraction in crop residue</t>
  </si>
  <si>
    <t xml:space="preserve">EF = emission factor </t>
  </si>
  <si>
    <t>Gg element/Gg burnt</t>
  </si>
  <si>
    <t>Table 6.48</t>
  </si>
  <si>
    <t>Cg = factor to convert from elemental mass of gas to molecular mass</t>
  </si>
  <si>
    <t>Carbon mass fraction in crop residue (CC)</t>
  </si>
  <si>
    <t>Annual methane emissions from burning crop residue</t>
  </si>
  <si>
    <t>4F_2</t>
  </si>
  <si>
    <t>Gg CH4</t>
  </si>
  <si>
    <t>t CO2-e</t>
  </si>
  <si>
    <t>Annual nitrous oxide emissions from burning crop residue</t>
  </si>
  <si>
    <t>Gg N2O</t>
  </si>
  <si>
    <t>4F_3</t>
  </si>
  <si>
    <t>E = M x EF x Cg</t>
  </si>
  <si>
    <t xml:space="preserve">EF </t>
  </si>
  <si>
    <t>Gg N2O-N/Gg N</t>
  </si>
  <si>
    <t xml:space="preserve">Cg </t>
  </si>
  <si>
    <t>Nitrous oxide emissions from crop residues</t>
  </si>
  <si>
    <t>Methane and nitrous oxide emissions from field burning of agricultural residues</t>
  </si>
  <si>
    <t>The mass of N in crop residues returned to soils (M)</t>
  </si>
  <si>
    <t>4D1_7</t>
  </si>
  <si>
    <t>Annual nitrous oxide production (E)</t>
  </si>
  <si>
    <t>4D1_8</t>
  </si>
  <si>
    <t>Enter your farm data</t>
  </si>
  <si>
    <t xml:space="preserve">Nitrogen Fertiliser Use </t>
  </si>
  <si>
    <t>N2O emissions from synthetic fertiliser</t>
  </si>
  <si>
    <t>Mass of fertiliser appplied (M)</t>
  </si>
  <si>
    <t>M = TM x FN</t>
  </si>
  <si>
    <t>TM = total mass of fertiliser</t>
  </si>
  <si>
    <t>FN = fraction of N applied to production system</t>
  </si>
  <si>
    <t>4D1_1</t>
  </si>
  <si>
    <t>Appendix 6.H.1</t>
  </si>
  <si>
    <t>Total mass of fertiliser TM</t>
  </si>
  <si>
    <t>Annual N2O emissions from the addition of synthetic fertiliser (E)</t>
  </si>
  <si>
    <t>E = (M x EF x Cg)</t>
  </si>
  <si>
    <t>4D1_2</t>
  </si>
  <si>
    <t>Table 6.22</t>
  </si>
  <si>
    <t>Atmospheric nitrogen deposition</t>
  </si>
  <si>
    <t>M = TM x FracGASF</t>
  </si>
  <si>
    <t>4D3_1</t>
  </si>
  <si>
    <t xml:space="preserve">M = mass of synthetic fertiliser volatilised </t>
  </si>
  <si>
    <t>Gg N/Gg applied</t>
  </si>
  <si>
    <t>Fertiliser application</t>
  </si>
  <si>
    <t xml:space="preserve">FracGASF </t>
  </si>
  <si>
    <t>Annual N2O production from atmospheric deposition (indirect ammonia)</t>
  </si>
  <si>
    <t>4D3_4</t>
  </si>
  <si>
    <t>M = mass of N volatilised from subset k</t>
  </si>
  <si>
    <t>Leaching of organic nitrogen and subsequent denitrification in rivers and estuaries</t>
  </si>
  <si>
    <t>The mass of fertiliser N applied to soils that is lost through leaching and runoff (M)</t>
  </si>
  <si>
    <t>M = M x FracWET x FracLEACH</t>
  </si>
  <si>
    <t>M = mass of fertiliser in each production system</t>
  </si>
  <si>
    <t>Appendix 6.J.1</t>
  </si>
  <si>
    <t>FracLEACH</t>
  </si>
  <si>
    <t>Annual N2O production from leaching and runoff</t>
  </si>
  <si>
    <t>4D3_7</t>
  </si>
  <si>
    <t>M = mass of N lost through leaching and runoff</t>
  </si>
  <si>
    <t>EF (emission factor)</t>
  </si>
  <si>
    <t>Energy - Fuel and Electricity</t>
  </si>
  <si>
    <t>Data Input</t>
  </si>
  <si>
    <t>kWh</t>
  </si>
  <si>
    <t>CO2 emissions from diesel use</t>
  </si>
  <si>
    <t>CH4</t>
  </si>
  <si>
    <t>N2O</t>
  </si>
  <si>
    <t>CO</t>
  </si>
  <si>
    <t>NMVOC</t>
  </si>
  <si>
    <t>Annual Diesel Consumption</t>
  </si>
  <si>
    <t>Annual Electricity Use</t>
  </si>
  <si>
    <t>litres/year</t>
  </si>
  <si>
    <t>KWh</t>
  </si>
  <si>
    <t>CO2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</si>
  <si>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-Energy</t>
    </r>
  </si>
  <si>
    <t>Grand total</t>
  </si>
  <si>
    <t>Crop type</t>
  </si>
  <si>
    <t>Nitrous oxide emissions from synthetic fertiliser</t>
  </si>
  <si>
    <t>Inventory reference</t>
  </si>
  <si>
    <t>Nitrous oxide emissions from atmospheric deposition (indirect ammonia)</t>
  </si>
  <si>
    <t>Nitrous oxide emissions from leaching and runoff (indirect nitrate)</t>
  </si>
  <si>
    <t>Inventory Reference</t>
  </si>
  <si>
    <t>Power source</t>
  </si>
  <si>
    <t>Choose your region in Australia</t>
  </si>
  <si>
    <t>Production system</t>
  </si>
  <si>
    <t>Horticulture</t>
  </si>
  <si>
    <t>Annual diesel consumption</t>
  </si>
  <si>
    <t>Annual electricity use</t>
  </si>
  <si>
    <t>State</t>
  </si>
  <si>
    <t>Gg CO2-e</t>
  </si>
  <si>
    <t xml:space="preserve">                                 </t>
  </si>
  <si>
    <t>ha/total crop ha</t>
  </si>
  <si>
    <t>NIL</t>
  </si>
  <si>
    <t>Revised Reference</t>
  </si>
  <si>
    <t>3DA_1</t>
  </si>
  <si>
    <t>3DA_2</t>
  </si>
  <si>
    <t>Global Warming Potential and Coversion Factors</t>
  </si>
  <si>
    <t>Gas</t>
  </si>
  <si>
    <t>CF4</t>
  </si>
  <si>
    <t>C2F6</t>
  </si>
  <si>
    <t>SF6</t>
  </si>
  <si>
    <t>NF3</t>
  </si>
  <si>
    <t>Conversion Factor</t>
  </si>
  <si>
    <t>Nox</t>
  </si>
  <si>
    <t>CO2 Lime</t>
  </si>
  <si>
    <t>Table 5.23</t>
  </si>
  <si>
    <t>Cotton</t>
  </si>
  <si>
    <t>3DA_7</t>
  </si>
  <si>
    <t>Comment</t>
  </si>
  <si>
    <t>M = mass of N in crop residues</t>
  </si>
  <si>
    <t>Pij = annual production of crop</t>
  </si>
  <si>
    <t>(kg crop residue/kg crop)</t>
  </si>
  <si>
    <t xml:space="preserve">Ragj = residue to crop ratio </t>
  </si>
  <si>
    <t>Rbgj = below ground-residue to above ground residue ratio</t>
  </si>
  <si>
    <t>(kg /kg)</t>
  </si>
  <si>
    <t>DMj = dry matter content</t>
  </si>
  <si>
    <t>(kg dry weight/kg crop residue)</t>
  </si>
  <si>
    <t>(kg N/kg DM)</t>
  </si>
  <si>
    <t>NCagj = nitrogen content of above-ground crop residue</t>
  </si>
  <si>
    <t>NCbgj = nitrogen content of below-ground crop residue</t>
  </si>
  <si>
    <t>Appendix 5.I</t>
  </si>
  <si>
    <t>Fij = fraction of crop residue that is burnt</t>
  </si>
  <si>
    <t>FFODij = fraction of the crop residue that is removed</t>
  </si>
  <si>
    <t>Fraction</t>
  </si>
  <si>
    <t>3DA_9</t>
  </si>
  <si>
    <t>Sewage Sludge Applied to Land</t>
  </si>
  <si>
    <t>3DA_5</t>
  </si>
  <si>
    <t>Sewage Sludge Emissions - Crops</t>
  </si>
  <si>
    <t>SA</t>
  </si>
  <si>
    <t>NT</t>
  </si>
  <si>
    <t>Production System</t>
  </si>
  <si>
    <t>Table 5.I.1 Crop and pasture attributes</t>
  </si>
  <si>
    <t>Dry matter content (DMk)</t>
  </si>
  <si>
    <t>Other Cereals</t>
  </si>
  <si>
    <t>Hops</t>
  </si>
  <si>
    <t>Oilseeds</t>
  </si>
  <si>
    <t>Forage Crops</t>
  </si>
  <si>
    <t>Sugar Cane</t>
  </si>
  <si>
    <t xml:space="preserve">State </t>
  </si>
  <si>
    <t>Proportion Burnt</t>
  </si>
  <si>
    <t>Proportion Removed</t>
  </si>
  <si>
    <t>NSW</t>
  </si>
  <si>
    <t>Vic</t>
  </si>
  <si>
    <t>Qld</t>
  </si>
  <si>
    <t>WA</t>
  </si>
  <si>
    <t>Tas</t>
  </si>
  <si>
    <t>ACT</t>
  </si>
  <si>
    <t>Yes</t>
  </si>
  <si>
    <t>No</t>
  </si>
  <si>
    <t>Property within Orange Zone</t>
  </si>
  <si>
    <t>Irrigated Crop</t>
  </si>
  <si>
    <t>Annual production of crop (Pij)</t>
  </si>
  <si>
    <t>Residue to crop ratio (Ragj)</t>
  </si>
  <si>
    <t>Residue - crop ratio (Ragj)</t>
  </si>
  <si>
    <t>Below ground/above ground residue ratio (Rbgk)</t>
  </si>
  <si>
    <t>Carbon mass fraction in DM (CCk)</t>
  </si>
  <si>
    <t>N content - above ground (NCagk)</t>
  </si>
  <si>
    <t>N content - below ground (NCbgk)</t>
  </si>
  <si>
    <t>Fraction of Residue remaining at time of burning (Sk)</t>
  </si>
  <si>
    <t>Fraction Burnt (Fik)</t>
  </si>
  <si>
    <t>Fraction Removed (FFODik)</t>
  </si>
  <si>
    <t>Selected State</t>
  </si>
  <si>
    <t xml:space="preserve">Fraction of sugar cane burnt </t>
  </si>
  <si>
    <t>Fraction Removed</t>
  </si>
  <si>
    <t>Below ground residue to above ground residue ratio (Rbgj)</t>
  </si>
  <si>
    <t>Dry matter content (DMj)</t>
  </si>
  <si>
    <t>Fraction of crop residue that is burnt (Fij)</t>
  </si>
  <si>
    <t>Fraction of the crop residue that is removed (FFODij)</t>
  </si>
  <si>
    <t>Nitrogen content of below ground crop residue (NCbgj)</t>
  </si>
  <si>
    <t>Nitrogen content of above ground crop residue (NCagj)</t>
  </si>
  <si>
    <t>M = (Pij x Ragj x (1- Fij - FFODij) x DMj x NCagj) +(Pij x Ragj x Rbgj x DMj x NCbgj)</t>
  </si>
  <si>
    <t>3DB_1</t>
  </si>
  <si>
    <t>3DB_5</t>
  </si>
  <si>
    <t>Appendix 5.J.1</t>
  </si>
  <si>
    <t>Diesel</t>
  </si>
  <si>
    <t>Revised Inventory Reference</t>
  </si>
  <si>
    <t>State Reference</t>
  </si>
  <si>
    <t>Black Coal</t>
  </si>
  <si>
    <t>Brown Coal</t>
  </si>
  <si>
    <t>Renewables</t>
  </si>
  <si>
    <t>t CO2</t>
  </si>
  <si>
    <t>Black coal</t>
  </si>
  <si>
    <t>Brown coal</t>
  </si>
  <si>
    <t>Annual Gas Consumption (LPG)</t>
  </si>
  <si>
    <t>Emission Factor (LPG)</t>
  </si>
  <si>
    <t>CO2-e emissions from gas use</t>
  </si>
  <si>
    <t>Electricity</t>
  </si>
  <si>
    <t>Annual electricity use (kWh)</t>
  </si>
  <si>
    <t>Annual electricity use (MWh)</t>
  </si>
  <si>
    <t>MWh</t>
  </si>
  <si>
    <t>Ref</t>
  </si>
  <si>
    <t>Electricity Source</t>
  </si>
  <si>
    <t>State Grid</t>
  </si>
  <si>
    <t>Renewable</t>
  </si>
  <si>
    <t>Electricity Reference</t>
  </si>
  <si>
    <t>Proportion of Electricty Source</t>
  </si>
  <si>
    <t>Fuel Type</t>
  </si>
  <si>
    <t>t CO2/year</t>
  </si>
  <si>
    <t>Total CO2 Emissions Energy</t>
  </si>
  <si>
    <t>Non CO2 emissions from Diesel</t>
  </si>
  <si>
    <t>Non CO2 emissions from Natural Gas</t>
  </si>
  <si>
    <t>t CO2e</t>
  </si>
  <si>
    <t>Total CH4 Emissions</t>
  </si>
  <si>
    <t>Total N2O Emissions</t>
  </si>
  <si>
    <t xml:space="preserve">Electriticy Source </t>
  </si>
  <si>
    <r>
      <t>t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e/farm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</si>
  <si>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-Lime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</si>
  <si>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- Energy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</si>
  <si>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- Energy</t>
    </r>
  </si>
  <si>
    <t>Liming</t>
  </si>
  <si>
    <t>Value</t>
  </si>
  <si>
    <t>Mass of limestone applied to soils (t)</t>
  </si>
  <si>
    <t>t</t>
  </si>
  <si>
    <t>Fraction of Limestone</t>
  </si>
  <si>
    <t>Fraction Purity of limestone</t>
  </si>
  <si>
    <t>Fractional Purity of Dolomite</t>
  </si>
  <si>
    <t>EF for Limestone</t>
  </si>
  <si>
    <t>EF for Dolomite</t>
  </si>
  <si>
    <t>E = ((M x FracLime x P X EF) + (M x (1-FracLime) x P x EF)) x Cg/1000</t>
  </si>
  <si>
    <t>3G_1</t>
  </si>
  <si>
    <t>CO2 emissions from Lime</t>
  </si>
  <si>
    <t>t/farm</t>
  </si>
  <si>
    <t xml:space="preserve">Sewage Sludge Applied </t>
  </si>
  <si>
    <t>Crop Type</t>
  </si>
  <si>
    <t>Mass of sewage sludge N applied</t>
  </si>
  <si>
    <t>Grand Total</t>
  </si>
  <si>
    <t xml:space="preserve">Mass of synthetic fertiliser volatilised </t>
  </si>
  <si>
    <t>3DB_4</t>
  </si>
  <si>
    <t>Map Reference</t>
  </si>
  <si>
    <t>Production System Reference</t>
  </si>
  <si>
    <t>Mass of sewage sludge volatised</t>
  </si>
  <si>
    <t>Fertiliser</t>
  </si>
  <si>
    <t>Sewage Sludge</t>
  </si>
  <si>
    <t>Mass of Lime Applied</t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</si>
  <si>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- Fertiliser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</si>
  <si>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- Atmospheric deposition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</si>
  <si>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- Leaching and Runoff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</si>
  <si>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- Field Burning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</si>
  <si>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- Field Burning</t>
    </r>
  </si>
  <si>
    <t>Residue to crop ratio</t>
  </si>
  <si>
    <t>Below to above ground residue ratio</t>
  </si>
  <si>
    <t>Dry matter content</t>
  </si>
  <si>
    <t>Nitrogen content of AG residue</t>
  </si>
  <si>
    <t>Nitrogen content of BG residue</t>
  </si>
  <si>
    <t>Fraction of crop residue that is burnt</t>
  </si>
  <si>
    <t>Fraction of crop residue remaining</t>
  </si>
  <si>
    <t>Fraction of crop residue removed</t>
  </si>
  <si>
    <t>Carbon mass fraction in DM</t>
  </si>
  <si>
    <t>Annual Natural Gas Consumption</t>
  </si>
  <si>
    <t>Nitrous oxide emissions from Urea Application</t>
  </si>
  <si>
    <t>TM = Mass of Urea applied to soils</t>
  </si>
  <si>
    <t>EF =</t>
  </si>
  <si>
    <t>C =</t>
  </si>
  <si>
    <t>Urea Application (included in the above)</t>
  </si>
  <si>
    <t>Gg CO2e</t>
  </si>
  <si>
    <t>t Urea</t>
  </si>
  <si>
    <t>kg Urea /ha</t>
  </si>
  <si>
    <t>CO2 - Urea Application</t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</si>
  <si>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- Crop residues</t>
    </r>
  </si>
  <si>
    <t>Fraction of Lime as limestone vs dolomite</t>
  </si>
  <si>
    <t>Annual LPG Use</t>
  </si>
  <si>
    <t>Table 5.I.4 Fraction of sugar cane burnt</t>
  </si>
  <si>
    <t>Table 5.I.3 Crop Residues - proportion burnt/removed</t>
  </si>
  <si>
    <t xml:space="preserve">No Change </t>
  </si>
  <si>
    <t>No Change</t>
  </si>
  <si>
    <t>Amended</t>
  </si>
  <si>
    <t>Amended EF</t>
  </si>
  <si>
    <t>New equation</t>
  </si>
  <si>
    <t>3H_1</t>
  </si>
  <si>
    <t>M = (M x EF x C)/1000</t>
  </si>
  <si>
    <t>Gg/farm</t>
  </si>
  <si>
    <t>Limestone/dolomite</t>
  </si>
  <si>
    <t>3F_1</t>
  </si>
  <si>
    <t>3F_2</t>
  </si>
  <si>
    <t>Annual production of crop (P) that is burnt</t>
  </si>
  <si>
    <t>Residue burnt/total residue</t>
  </si>
  <si>
    <t>Table 5.40</t>
  </si>
  <si>
    <t>No change</t>
  </si>
  <si>
    <t>E = M x NC x EF x Cg</t>
  </si>
  <si>
    <t>3F_3</t>
  </si>
  <si>
    <t>4D3_6</t>
  </si>
  <si>
    <t>Mass of fertiliser in each production system</t>
  </si>
  <si>
    <t>Mass of sewage sludge in each production system</t>
  </si>
  <si>
    <t>Sewage sludge added</t>
  </si>
  <si>
    <t>Sugar</t>
  </si>
  <si>
    <t>Horticultural crops</t>
  </si>
  <si>
    <t>Fraction of N available for leaching and runoff</t>
  </si>
  <si>
    <t>Non-irrigated crop</t>
  </si>
  <si>
    <t>Irrigated crop</t>
  </si>
  <si>
    <t>Leaching Zone Multiplier</t>
  </si>
  <si>
    <t>Table Added</t>
  </si>
  <si>
    <t>3DB_10</t>
  </si>
  <si>
    <t>3DB_7</t>
  </si>
  <si>
    <t>Mass of N in Crop Residue</t>
  </si>
  <si>
    <t>Residue N added</t>
  </si>
  <si>
    <t>Residue N</t>
  </si>
  <si>
    <t>FractWET Reference</t>
  </si>
  <si>
    <t>FracWET (sewage sludge only)</t>
  </si>
  <si>
    <t>Production system Reference</t>
  </si>
  <si>
    <t>kg/ha</t>
  </si>
  <si>
    <t>-</t>
  </si>
  <si>
    <t>Is the crop in orange zone? (Ref Map. 1)</t>
  </si>
  <si>
    <t>Non-Irrigated Crop</t>
  </si>
  <si>
    <t>EF (&lt;600mm rain)</t>
  </si>
  <si>
    <t>Rainfall Zone Reference</t>
  </si>
  <si>
    <t>EF (&gt;600mm rain)</t>
  </si>
  <si>
    <t>Production System EF</t>
  </si>
  <si>
    <t>Revised reference</t>
  </si>
  <si>
    <t>Comments</t>
  </si>
  <si>
    <t>Annual N2O production from atmospheric deposition (Sewage Sludge)</t>
  </si>
  <si>
    <t xml:space="preserve"> </t>
  </si>
  <si>
    <t>Addition</t>
  </si>
  <si>
    <t>3DB_8</t>
  </si>
  <si>
    <t>Residue N leached</t>
  </si>
  <si>
    <t>NSW/ACT</t>
  </si>
  <si>
    <t>SW WA</t>
  </si>
  <si>
    <t>NW WA</t>
  </si>
  <si>
    <t>Proportion of Electricity Generation</t>
  </si>
  <si>
    <t xml:space="preserve">Weighted Average Emissions </t>
  </si>
  <si>
    <t>kg CO2/KWh</t>
  </si>
  <si>
    <t>Fraction of Supply</t>
  </si>
  <si>
    <t>(Derived from ACIL ALLEN CONSULTING 2013, Tables 1&amp;2)</t>
  </si>
  <si>
    <t>Renewable Energy</t>
  </si>
  <si>
    <t>Emissions from Electricity Generation</t>
  </si>
  <si>
    <t>kg CO2</t>
  </si>
  <si>
    <t>Weighted Average Emissions Intensity kg CO2/KWh</t>
  </si>
  <si>
    <t>Electricty Reference Multiplier</t>
  </si>
  <si>
    <t>CO2-e emissions from electricity use</t>
  </si>
  <si>
    <t xml:space="preserve">Table 3 (Dept of Environment 2015) </t>
  </si>
  <si>
    <t xml:space="preserve">2.3.1 (Dept of Environment 2015) </t>
  </si>
  <si>
    <t>Eij = (Qi x ECi x Efijoxec)*10^-3</t>
  </si>
  <si>
    <t>Eij = emissions of gas type</t>
  </si>
  <si>
    <t>tCO2</t>
  </si>
  <si>
    <t>Qi =  quantity of fuel type</t>
  </si>
  <si>
    <t>Gj/l</t>
  </si>
  <si>
    <t>kl</t>
  </si>
  <si>
    <t>ECi = energy content factor of fuel type</t>
  </si>
  <si>
    <t>kg CO2-e/Gj</t>
  </si>
  <si>
    <t>EFijoxec = emission factor</t>
  </si>
  <si>
    <t>Energy Content (ECi)</t>
  </si>
  <si>
    <t>Emission Factor (Diesel Oil)</t>
  </si>
  <si>
    <t>kL/year</t>
  </si>
  <si>
    <t>Region</t>
  </si>
  <si>
    <t xml:space="preserve">Generator </t>
  </si>
  <si>
    <t xml:space="preserve">Fuel type </t>
  </si>
  <si>
    <t xml:space="preserve">AGL SF PV Broken Hill </t>
  </si>
  <si>
    <t xml:space="preserve">Solar </t>
  </si>
  <si>
    <t xml:space="preserve">AGL SF PV Nyngan </t>
  </si>
  <si>
    <t xml:space="preserve">Bayswater </t>
  </si>
  <si>
    <t xml:space="preserve">Black coal </t>
  </si>
  <si>
    <t xml:space="preserve">Bendeela Pumps </t>
  </si>
  <si>
    <t xml:space="preserve">n/a </t>
  </si>
  <si>
    <t xml:space="preserve">Blowering </t>
  </si>
  <si>
    <t xml:space="preserve">Hydro </t>
  </si>
  <si>
    <t xml:space="preserve">Colongra </t>
  </si>
  <si>
    <t xml:space="preserve">Natural gas </t>
  </si>
  <si>
    <t xml:space="preserve">Eraring </t>
  </si>
  <si>
    <t xml:space="preserve">Gunning Wind Farm </t>
  </si>
  <si>
    <t xml:space="preserve">Wind </t>
  </si>
  <si>
    <t xml:space="preserve">Guthega </t>
  </si>
  <si>
    <t xml:space="preserve">Hume NSW </t>
  </si>
  <si>
    <t xml:space="preserve">Hunter Valley GT </t>
  </si>
  <si>
    <t xml:space="preserve">Liquid fuel </t>
  </si>
  <si>
    <t xml:space="preserve">Liddell </t>
  </si>
  <si>
    <t xml:space="preserve">Mt Piper </t>
  </si>
  <si>
    <t xml:space="preserve">Munmorah a </t>
  </si>
  <si>
    <t xml:space="preserve">Redbank </t>
  </si>
  <si>
    <t xml:space="preserve">Shoalhaven Bendeela </t>
  </si>
  <si>
    <t xml:space="preserve">Smithfield </t>
  </si>
  <si>
    <t xml:space="preserve">Tallawarra </t>
  </si>
  <si>
    <t xml:space="preserve">Tumut 1 </t>
  </si>
  <si>
    <t xml:space="preserve">Tumut 3 </t>
  </si>
  <si>
    <t xml:space="preserve">Tumut 3 Pumps </t>
  </si>
  <si>
    <t xml:space="preserve">Uranquinty </t>
  </si>
  <si>
    <t xml:space="preserve">Vales Point B </t>
  </si>
  <si>
    <t xml:space="preserve">Wallerawang C </t>
  </si>
  <si>
    <t xml:space="preserve">Woodlawn Wind Farm </t>
  </si>
  <si>
    <t xml:space="preserve">Barcaldine </t>
  </si>
  <si>
    <t xml:space="preserve">Barron Gorge </t>
  </si>
  <si>
    <t xml:space="preserve">Braemar 1 </t>
  </si>
  <si>
    <t xml:space="preserve">Braemar 2 </t>
  </si>
  <si>
    <t xml:space="preserve">Callide B </t>
  </si>
  <si>
    <t xml:space="preserve">Callide C </t>
  </si>
  <si>
    <t xml:space="preserve">Collinsville a </t>
  </si>
  <si>
    <t xml:space="preserve">Condamine </t>
  </si>
  <si>
    <t xml:space="preserve">Darling Downs </t>
  </si>
  <si>
    <t xml:space="preserve">Gladstone </t>
  </si>
  <si>
    <t xml:space="preserve">Kareeya </t>
  </si>
  <si>
    <t xml:space="preserve">Kogan Creek </t>
  </si>
  <si>
    <t xml:space="preserve">Mackay GT </t>
  </si>
  <si>
    <t xml:space="preserve">Millmerran </t>
  </si>
  <si>
    <t xml:space="preserve">Mt Stuart </t>
  </si>
  <si>
    <t xml:space="preserve">Oakey </t>
  </si>
  <si>
    <t xml:space="preserve">Roma </t>
  </si>
  <si>
    <t xml:space="preserve">Stanwell </t>
  </si>
  <si>
    <t xml:space="preserve">Swanbank B a </t>
  </si>
  <si>
    <t xml:space="preserve">Swanbank E </t>
  </si>
  <si>
    <t xml:space="preserve">Tarong </t>
  </si>
  <si>
    <t xml:space="preserve">Tarong North </t>
  </si>
  <si>
    <t xml:space="preserve">Townsville </t>
  </si>
  <si>
    <t xml:space="preserve">Wivenhoe </t>
  </si>
  <si>
    <t xml:space="preserve">Wivenhoe Pump </t>
  </si>
  <si>
    <t xml:space="preserve">Yarwun </t>
  </si>
  <si>
    <t xml:space="preserve">Angaston </t>
  </si>
  <si>
    <t xml:space="preserve">Bluff WF </t>
  </si>
  <si>
    <t xml:space="preserve">Clements Gap Wind Farm </t>
  </si>
  <si>
    <t xml:space="preserve">Dry Creek </t>
  </si>
  <si>
    <t xml:space="preserve">Hallett </t>
  </si>
  <si>
    <t xml:space="preserve">Hallett 2 Wind Farm </t>
  </si>
  <si>
    <t xml:space="preserve">Hallett Wind Farm </t>
  </si>
  <si>
    <t xml:space="preserve">Ladbroke Grove </t>
  </si>
  <si>
    <t xml:space="preserve">Lake Bonney 2 Wind Farm </t>
  </si>
  <si>
    <t xml:space="preserve">Lake Bonney 3 Wind Farm </t>
  </si>
  <si>
    <t xml:space="preserve">Mintaro </t>
  </si>
  <si>
    <t xml:space="preserve">North Brown Hill Wind Farm </t>
  </si>
  <si>
    <t xml:space="preserve">Northern </t>
  </si>
  <si>
    <t xml:space="preserve">Brown coal </t>
  </si>
  <si>
    <t xml:space="preserve">Osborne </t>
  </si>
  <si>
    <t xml:space="preserve">Pelican Point </t>
  </si>
  <si>
    <t xml:space="preserve">Playford B a </t>
  </si>
  <si>
    <t xml:space="preserve">Port Lincoln </t>
  </si>
  <si>
    <t xml:space="preserve">Quarantine </t>
  </si>
  <si>
    <t xml:space="preserve">Snowtown 2 Wind Farm </t>
  </si>
  <si>
    <t xml:space="preserve">Snowtown Wind Farm </t>
  </si>
  <si>
    <t xml:space="preserve">Snuggery </t>
  </si>
  <si>
    <t xml:space="preserve">Torrens Island A </t>
  </si>
  <si>
    <t xml:space="preserve">Torrens Island B </t>
  </si>
  <si>
    <t xml:space="preserve">Waterloo Wind Farm </t>
  </si>
  <si>
    <t xml:space="preserve">Bastyan </t>
  </si>
  <si>
    <t xml:space="preserve">Bell Bay </t>
  </si>
  <si>
    <t xml:space="preserve">Bell Bay Three </t>
  </si>
  <si>
    <t xml:space="preserve">Cethana </t>
  </si>
  <si>
    <t xml:space="preserve">Devils Gate </t>
  </si>
  <si>
    <t xml:space="preserve">Fisher </t>
  </si>
  <si>
    <t xml:space="preserve">Gordon </t>
  </si>
  <si>
    <t xml:space="preserve">John Butters </t>
  </si>
  <si>
    <t xml:space="preserve">Lake Echo </t>
  </si>
  <si>
    <t xml:space="preserve">Lemonthyme_Wilmot </t>
  </si>
  <si>
    <t xml:space="preserve">Liapootah_Wayatinah_Catagunya </t>
  </si>
  <si>
    <t xml:space="preserve">Mackintosh </t>
  </si>
  <si>
    <t xml:space="preserve">Meadowbank </t>
  </si>
  <si>
    <t xml:space="preserve">Musselroe Wind Farm </t>
  </si>
  <si>
    <t xml:space="preserve">Poatina </t>
  </si>
  <si>
    <t xml:space="preserve">Reece </t>
  </si>
  <si>
    <t xml:space="preserve">Tamar Valley </t>
  </si>
  <si>
    <t xml:space="preserve">Tamar Valley GT </t>
  </si>
  <si>
    <t xml:space="preserve">Tarraleah </t>
  </si>
  <si>
    <t xml:space="preserve">Trevallyn </t>
  </si>
  <si>
    <t xml:space="preserve">Tribute </t>
  </si>
  <si>
    <t xml:space="preserve">Tungatinah </t>
  </si>
  <si>
    <t xml:space="preserve">Anglesea </t>
  </si>
  <si>
    <t xml:space="preserve">Bairnsdale </t>
  </si>
  <si>
    <t xml:space="preserve">Dartmouth </t>
  </si>
  <si>
    <t xml:space="preserve">Eildon </t>
  </si>
  <si>
    <t xml:space="preserve">Energy Brix </t>
  </si>
  <si>
    <t xml:space="preserve">Hazelwood </t>
  </si>
  <si>
    <t xml:space="preserve">Hume VIC </t>
  </si>
  <si>
    <t xml:space="preserve">Jeeralang A </t>
  </si>
  <si>
    <t xml:space="preserve">Jeeralang B </t>
  </si>
  <si>
    <t xml:space="preserve">Laverton North </t>
  </si>
  <si>
    <t xml:space="preserve">Loy Yang A </t>
  </si>
  <si>
    <t xml:space="preserve">Loy Yang B </t>
  </si>
  <si>
    <t xml:space="preserve">Macarthur Wind Farm </t>
  </si>
  <si>
    <t xml:space="preserve">McKay </t>
  </si>
  <si>
    <t xml:space="preserve">Mortlake </t>
  </si>
  <si>
    <t xml:space="preserve">Mt Mercer Wind Farm </t>
  </si>
  <si>
    <t xml:space="preserve">Murray </t>
  </si>
  <si>
    <t xml:space="preserve">Newport </t>
  </si>
  <si>
    <t xml:space="preserve">Oaklands Hill Wind Farm </t>
  </si>
  <si>
    <t xml:space="preserve">Somerton </t>
  </si>
  <si>
    <t xml:space="preserve">Valley Power </t>
  </si>
  <si>
    <t xml:space="preserve">West Kiewa </t>
  </si>
  <si>
    <t xml:space="preserve">Yallourn </t>
  </si>
  <si>
    <t xml:space="preserve">Albany </t>
  </si>
  <si>
    <t xml:space="preserve">Alcoa Kwinana Cogen </t>
  </si>
  <si>
    <t xml:space="preserve">Alcoa Pinjarra Cogen </t>
  </si>
  <si>
    <t xml:space="preserve">Alcoa Wagerup Cogen </t>
  </si>
  <si>
    <t xml:space="preserve">Bluewaters </t>
  </si>
  <si>
    <t xml:space="preserve">BP Cogen </t>
  </si>
  <si>
    <t xml:space="preserve">Canning/Melville LFG </t>
  </si>
  <si>
    <t xml:space="preserve">Landfill gas </t>
  </si>
  <si>
    <t xml:space="preserve">Cockburn </t>
  </si>
  <si>
    <t xml:space="preserve">Collgar Wind Farm </t>
  </si>
  <si>
    <t xml:space="preserve">Collie </t>
  </si>
  <si>
    <t xml:space="preserve">Emu downs </t>
  </si>
  <si>
    <t xml:space="preserve">Geraldton </t>
  </si>
  <si>
    <t xml:space="preserve">Distillate </t>
  </si>
  <si>
    <t xml:space="preserve">Grasmere </t>
  </si>
  <si>
    <t xml:space="preserve">Greenough River </t>
  </si>
  <si>
    <t xml:space="preserve">Kalgoorlie </t>
  </si>
  <si>
    <t xml:space="preserve">Kalgoorlie Nickel </t>
  </si>
  <si>
    <t xml:space="preserve">Kemerton </t>
  </si>
  <si>
    <t xml:space="preserve">Kwinana A </t>
  </si>
  <si>
    <t xml:space="preserve">Kwinana B </t>
  </si>
  <si>
    <t xml:space="preserve">Kwinana C </t>
  </si>
  <si>
    <t xml:space="preserve">Kwinana GT </t>
  </si>
  <si>
    <t xml:space="preserve">Kwinana HEGT </t>
  </si>
  <si>
    <t xml:space="preserve">Muja A&amp;B </t>
  </si>
  <si>
    <t xml:space="preserve">Muja C </t>
  </si>
  <si>
    <t xml:space="preserve">Muja D </t>
  </si>
  <si>
    <t xml:space="preserve">Mumbida </t>
  </si>
  <si>
    <t xml:space="preserve">Mungarra </t>
  </si>
  <si>
    <t xml:space="preserve">Namarkkon </t>
  </si>
  <si>
    <t xml:space="preserve">Neerabup Peaker </t>
  </si>
  <si>
    <t xml:space="preserve">Newgen Power </t>
  </si>
  <si>
    <t xml:space="preserve">Parkeston SCE </t>
  </si>
  <si>
    <t xml:space="preserve">Pinjar A B </t>
  </si>
  <si>
    <t xml:space="preserve">Pinjar C </t>
  </si>
  <si>
    <t xml:space="preserve">Pinjar D </t>
  </si>
  <si>
    <t xml:space="preserve">Pinjarra Alinta Cogen </t>
  </si>
  <si>
    <t xml:space="preserve">Tesla (various sites) </t>
  </si>
  <si>
    <t xml:space="preserve">Tiwest Cogen </t>
  </si>
  <si>
    <t xml:space="preserve">Wagerup Alinta Peaker </t>
  </si>
  <si>
    <t xml:space="preserve">Walkaway </t>
  </si>
  <si>
    <t xml:space="preserve">Western Energy Peaker </t>
  </si>
  <si>
    <t xml:space="preserve">Worsley </t>
  </si>
  <si>
    <t xml:space="preserve">Worsley SWCJV </t>
  </si>
  <si>
    <t xml:space="preserve">Burrup Peninsula </t>
  </si>
  <si>
    <t xml:space="preserve">Cape Lambert a </t>
  </si>
  <si>
    <t xml:space="preserve">Cape Preston </t>
  </si>
  <si>
    <t xml:space="preserve">Dampier a </t>
  </si>
  <si>
    <t xml:space="preserve">Karratha </t>
  </si>
  <si>
    <t xml:space="preserve">Karratha ACTO </t>
  </si>
  <si>
    <t xml:space="preserve">Paraburdoo </t>
  </si>
  <si>
    <t xml:space="preserve">Port Hedland </t>
  </si>
  <si>
    <t xml:space="preserve">Berrimah </t>
  </si>
  <si>
    <t xml:space="preserve">Channel Island u1-3 </t>
  </si>
  <si>
    <t xml:space="preserve">Channel Island u4-6 </t>
  </si>
  <si>
    <t xml:space="preserve">Channel Island u7 </t>
  </si>
  <si>
    <t xml:space="preserve">Channel Island u8-9 </t>
  </si>
  <si>
    <t xml:space="preserve">Katherine </t>
  </si>
  <si>
    <t xml:space="preserve">LMS Shoal Bay </t>
  </si>
  <si>
    <t xml:space="preserve">Pine Creek CCGT </t>
  </si>
  <si>
    <t xml:space="preserve">Weddell </t>
  </si>
  <si>
    <t xml:space="preserve">Emissions Intensity </t>
  </si>
  <si>
    <t xml:space="preserve">(kg CO2-e/kWh </t>
  </si>
  <si>
    <t>sent-out)</t>
  </si>
  <si>
    <t>Capacity</t>
  </si>
  <si>
    <t xml:space="preserve">(gross kW) </t>
  </si>
  <si>
    <t>(Source: ACIL ALLEN CONSULTING 2013, Tables 1&amp;2)</t>
  </si>
  <si>
    <t>Distillate/Liquid Fuel</t>
  </si>
  <si>
    <t>NT&amp;NW WA</t>
  </si>
  <si>
    <t>Steam Black Coal</t>
  </si>
  <si>
    <t>Steam Brown Coal</t>
  </si>
  <si>
    <t>Steam Gas</t>
  </si>
  <si>
    <t>Steam Multi-fuel</t>
  </si>
  <si>
    <t>Reciprocating Engine</t>
  </si>
  <si>
    <t>Open Cycle Conventional Gas</t>
  </si>
  <si>
    <t>Open Cycle Coal Seam Gas</t>
  </si>
  <si>
    <t>Open Cycle Oil Products</t>
  </si>
  <si>
    <t>Open Cycle Multi-fuel</t>
  </si>
  <si>
    <t>Combined Conventional Gas</t>
  </si>
  <si>
    <t>Combined Coal Seam Gas</t>
  </si>
  <si>
    <t>Hydro</t>
  </si>
  <si>
    <t>Wind</t>
  </si>
  <si>
    <t>Bioenergy</t>
  </si>
  <si>
    <t>Solar</t>
  </si>
  <si>
    <t>Solar Thermal</t>
  </si>
  <si>
    <t>Geothermal</t>
  </si>
  <si>
    <t>Wave</t>
  </si>
  <si>
    <t>Total Renewables</t>
  </si>
  <si>
    <t>Totals</t>
  </si>
  <si>
    <t>CH4 Emission Factor (Diesel Oil)</t>
  </si>
  <si>
    <t>N2O Emission Factor (Diesel Oil)</t>
  </si>
  <si>
    <t>CH4 emissions from diesel use</t>
  </si>
  <si>
    <t>N2O emissions from diesel use</t>
  </si>
  <si>
    <t>Annual gas consumption</t>
  </si>
  <si>
    <t>CH4 Emission Factor (Gas)</t>
  </si>
  <si>
    <t>N2O Emission Factor (Gas)</t>
  </si>
  <si>
    <t>CH4 emissions from gas use</t>
  </si>
  <si>
    <t>N2O emissions from gas use</t>
  </si>
  <si>
    <t>GJ/kL</t>
  </si>
  <si>
    <t>kg CO2-e/GJ</t>
  </si>
  <si>
    <t>Gj/kL</t>
  </si>
  <si>
    <t>tCO2-e</t>
  </si>
  <si>
    <t>References</t>
  </si>
  <si>
    <t>Department of Environment (2015) National Greenhouse Gas Factors - Australian National Greenhouse Accounts, Commonwealth of Australia</t>
  </si>
  <si>
    <t>Department of Resources, Energy and Tourism and Bureau of Resources and Energy Economics (2012) Energy in Australia 2012, Commonwealth of Australia</t>
  </si>
  <si>
    <t>Source: Department of Resources, Energy and Tourism and Bureau of Resources and Energy Economics (2012), Tables 10 and 15</t>
  </si>
  <si>
    <t>Capacity of renewable electricity generation in Australia, 2010</t>
  </si>
  <si>
    <t>Australia’s thermal electricity generation capacity, 2009–10</t>
  </si>
  <si>
    <t>(Derived from Department of Resources, Energy and Tourism and Bureau of Resources and Energy Economics (2012), Tables 10 and 15)</t>
  </si>
  <si>
    <t>ACIL Allen Consulting (2013), Electricity Sector Emissions - Modelling of the Australian Electricity Generation Sector:</t>
  </si>
  <si>
    <t xml:space="preserve">Report to the Department Of Innovation, Industry, Climate Change, Science, Research and Tertiary Education, ACIL Allen Consulting </t>
  </si>
  <si>
    <t>Joe Bloggs's cropping farm</t>
  </si>
  <si>
    <r>
      <t>CO</t>
    </r>
    <r>
      <rPr>
        <vertAlign val="subscript"/>
        <sz val="11"/>
        <rFont val="Times New Roman"/>
        <family val="1"/>
      </rPr>
      <t>2</t>
    </r>
  </si>
  <si>
    <r>
      <t>CH</t>
    </r>
    <r>
      <rPr>
        <vertAlign val="subscript"/>
        <sz val="11"/>
        <rFont val="Times New Roman"/>
        <family val="1"/>
      </rPr>
      <t>4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</si>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</sst>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#,##0.0000"/>
  </numFmts>
  <fonts count="27" x14ac:knownFonts="1"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u/>
      <sz val="9"/>
      <color theme="11"/>
      <name val="Arial"/>
      <family val="2"/>
    </font>
    <font>
      <sz val="11"/>
      <name val="Arial"/>
      <family val="2"/>
    </font>
    <font>
      <b/>
      <vertAlign val="subscript"/>
      <sz val="11"/>
      <name val="Times New Roman"/>
      <family val="1"/>
    </font>
    <font>
      <u/>
      <sz val="9"/>
      <color theme="10"/>
      <name val="Arial"/>
      <family val="2"/>
    </font>
    <font>
      <sz val="10"/>
      <name val="Times New Roman"/>
      <family val="1"/>
    </font>
    <font>
      <b/>
      <sz val="12"/>
      <color theme="1"/>
      <name val="Times"/>
    </font>
    <font>
      <sz val="12"/>
      <name val="Times"/>
    </font>
    <font>
      <b/>
      <sz val="12"/>
      <name val="Times"/>
    </font>
    <font>
      <sz val="9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0">
    <xf numFmtId="0" fontId="0" fillId="0" borderId="1"/>
    <xf numFmtId="43" fontId="1" fillId="0" borderId="0" applyFont="0" applyFill="0" applyBorder="0" applyAlignment="0" applyProtection="0"/>
    <xf numFmtId="0" fontId="3" fillId="0" borderId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  <xf numFmtId="0" fontId="21" fillId="0" borderId="1" applyNumberFormat="0" applyFill="0" applyBorder="0" applyAlignment="0" applyProtection="0"/>
    <xf numFmtId="0" fontId="18" fillId="0" borderId="1" applyNumberFormat="0" applyFill="0" applyBorder="0" applyAlignment="0" applyProtection="0"/>
  </cellStyleXfs>
  <cellXfs count="441">
    <xf numFmtId="0" fontId="0" fillId="0" borderId="1" xfId="0"/>
    <xf numFmtId="0" fontId="2" fillId="0" borderId="1" xfId="0" applyFont="1"/>
    <xf numFmtId="0" fontId="2" fillId="0" borderId="1" xfId="0" applyFont="1" applyAlignment="1">
      <alignment horizontal="center"/>
    </xf>
    <xf numFmtId="0" fontId="0" fillId="0" borderId="1" xfId="0" applyAlignment="1">
      <alignment horizontal="center"/>
    </xf>
    <xf numFmtId="0" fontId="0" fillId="0" borderId="1" xfId="0" applyAlignment="1">
      <alignment horizontal="left"/>
    </xf>
    <xf numFmtId="0" fontId="0" fillId="0" borderId="1" xfId="0" applyFill="1" applyAlignment="1">
      <alignment horizontal="center"/>
    </xf>
    <xf numFmtId="2" fontId="0" fillId="0" borderId="1" xfId="0" applyNumberFormat="1"/>
    <xf numFmtId="2" fontId="2" fillId="0" borderId="1" xfId="0" applyNumberFormat="1" applyFont="1" applyAlignment="1">
      <alignment horizontal="center"/>
    </xf>
    <xf numFmtId="2" fontId="0" fillId="0" borderId="0" xfId="0" applyNumberFormat="1" applyBorder="1"/>
    <xf numFmtId="164" fontId="0" fillId="0" borderId="1" xfId="0" applyNumberFormat="1"/>
    <xf numFmtId="0" fontId="2" fillId="0" borderId="1" xfId="0" applyFont="1" applyFill="1"/>
    <xf numFmtId="0" fontId="5" fillId="0" borderId="1" xfId="0" applyFont="1"/>
    <xf numFmtId="2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0" fillId="2" borderId="3" xfId="0" applyNumberFormat="1" applyFill="1" applyBorder="1"/>
    <xf numFmtId="0" fontId="7" fillId="0" borderId="1" xfId="0" applyFont="1" applyAlignment="1">
      <alignment horizontal="left"/>
    </xf>
    <xf numFmtId="0" fontId="10" fillId="0" borderId="0" xfId="0" applyFont="1" applyBorder="1"/>
    <xf numFmtId="0" fontId="11" fillId="0" borderId="0" xfId="0" applyFont="1" applyFill="1" applyBorder="1"/>
    <xf numFmtId="0" fontId="10" fillId="0" borderId="0" xfId="0" applyFont="1" applyFill="1" applyBorder="1"/>
    <xf numFmtId="166" fontId="10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</xf>
    <xf numFmtId="43" fontId="13" fillId="0" borderId="0" xfId="0" applyNumberFormat="1" applyFont="1" applyFill="1" applyBorder="1" applyProtection="1"/>
    <xf numFmtId="0" fontId="11" fillId="0" borderId="0" xfId="0" applyFont="1" applyFill="1" applyBorder="1" applyAlignment="1" applyProtection="1"/>
    <xf numFmtId="0" fontId="16" fillId="4" borderId="0" xfId="0" applyFont="1" applyFill="1" applyBorder="1" applyProtection="1"/>
    <xf numFmtId="0" fontId="10" fillId="3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indent="1"/>
    </xf>
    <xf numFmtId="2" fontId="10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0" fillId="5" borderId="0" xfId="0" applyFont="1" applyFill="1" applyBorder="1"/>
    <xf numFmtId="0" fontId="10" fillId="6" borderId="0" xfId="0" applyFont="1" applyFill="1" applyBorder="1"/>
    <xf numFmtId="0" fontId="13" fillId="0" borderId="0" xfId="0" applyFont="1" applyFill="1" applyBorder="1" applyAlignment="1" applyProtection="1">
      <alignment horizontal="left" vertical="center"/>
    </xf>
    <xf numFmtId="2" fontId="10" fillId="0" borderId="0" xfId="0" applyNumberFormat="1" applyFont="1" applyFill="1" applyBorder="1" applyAlignment="1"/>
    <xf numFmtId="0" fontId="10" fillId="6" borderId="0" xfId="0" applyFont="1" applyFill="1" applyBorder="1" applyAlignment="1"/>
    <xf numFmtId="0" fontId="10" fillId="7" borderId="0" xfId="0" applyFont="1" applyFill="1" applyBorder="1" applyAlignment="1">
      <alignment horizontal="right"/>
    </xf>
    <xf numFmtId="0" fontId="11" fillId="0" borderId="0" xfId="0" applyFont="1" applyBorder="1"/>
    <xf numFmtId="0" fontId="10" fillId="9" borderId="0" xfId="0" applyFont="1" applyFill="1" applyBorder="1"/>
    <xf numFmtId="0" fontId="12" fillId="9" borderId="0" xfId="0" applyFont="1" applyFill="1" applyBorder="1"/>
    <xf numFmtId="2" fontId="10" fillId="9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0" fontId="12" fillId="6" borderId="0" xfId="0" applyFont="1" applyFill="1" applyBorder="1"/>
    <xf numFmtId="0" fontId="10" fillId="10" borderId="0" xfId="0" applyFont="1" applyFill="1" applyBorder="1" applyAlignment="1"/>
    <xf numFmtId="0" fontId="12" fillId="10" borderId="0" xfId="0" applyFont="1" applyFill="1" applyBorder="1"/>
    <xf numFmtId="0" fontId="10" fillId="10" borderId="0" xfId="0" applyFont="1" applyFill="1" applyBorder="1"/>
    <xf numFmtId="0" fontId="10" fillId="5" borderId="0" xfId="0" applyFont="1" applyFill="1" applyBorder="1" applyAlignment="1"/>
    <xf numFmtId="0" fontId="12" fillId="5" borderId="5" xfId="0" applyFont="1" applyFill="1" applyBorder="1"/>
    <xf numFmtId="0" fontId="10" fillId="5" borderId="0" xfId="0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2" fontId="12" fillId="5" borderId="0" xfId="0" applyNumberFormat="1" applyFont="1" applyFill="1" applyBorder="1" applyAlignment="1">
      <alignment horizontal="left"/>
    </xf>
    <xf numFmtId="2" fontId="10" fillId="5" borderId="0" xfId="0" applyNumberFormat="1" applyFont="1" applyFill="1" applyBorder="1" applyAlignment="1"/>
    <xf numFmtId="0" fontId="10" fillId="5" borderId="0" xfId="0" applyFont="1" applyFill="1" applyBorder="1" applyAlignment="1">
      <alignment horizontal="right"/>
    </xf>
    <xf numFmtId="0" fontId="12" fillId="5" borderId="0" xfId="0" applyFont="1" applyFill="1" applyBorder="1"/>
    <xf numFmtId="165" fontId="10" fillId="5" borderId="0" xfId="0" applyNumberFormat="1" applyFont="1" applyFill="1" applyBorder="1" applyAlignment="1">
      <alignment horizontal="center"/>
    </xf>
    <xf numFmtId="0" fontId="12" fillId="5" borderId="9" xfId="0" applyFont="1" applyFill="1" applyBorder="1" applyAlignment="1"/>
    <xf numFmtId="0" fontId="10" fillId="5" borderId="8" xfId="0" applyFont="1" applyFill="1" applyBorder="1" applyAlignment="1"/>
    <xf numFmtId="0" fontId="10" fillId="5" borderId="7" xfId="0" applyFont="1" applyFill="1" applyBorder="1" applyAlignment="1"/>
    <xf numFmtId="2" fontId="10" fillId="5" borderId="0" xfId="0" applyNumberFormat="1" applyFont="1" applyFill="1" applyBorder="1" applyAlignment="1">
      <alignment horizontal="right"/>
    </xf>
    <xf numFmtId="2" fontId="10" fillId="10" borderId="0" xfId="0" applyNumberFormat="1" applyFont="1" applyFill="1" applyBorder="1"/>
    <xf numFmtId="165" fontId="10" fillId="10" borderId="0" xfId="0" applyNumberFormat="1" applyFont="1" applyFill="1" applyBorder="1"/>
    <xf numFmtId="0" fontId="12" fillId="6" borderId="0" xfId="0" applyFont="1" applyFill="1" applyBorder="1" applyAlignment="1"/>
    <xf numFmtId="0" fontId="17" fillId="0" borderId="0" xfId="0" applyFont="1" applyFill="1" applyBorder="1"/>
    <xf numFmtId="0" fontId="12" fillId="7" borderId="0" xfId="0" applyFont="1" applyFill="1" applyBorder="1" applyAlignment="1"/>
    <xf numFmtId="0" fontId="10" fillId="7" borderId="0" xfId="0" applyFont="1" applyFill="1" applyBorder="1" applyAlignment="1"/>
    <xf numFmtId="0" fontId="10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right" vertical="center" indent="1"/>
    </xf>
    <xf numFmtId="0" fontId="10" fillId="7" borderId="8" xfId="0" applyFont="1" applyFill="1" applyBorder="1" applyAlignment="1">
      <alignment horizontal="right" vertical="center" indent="1"/>
    </xf>
    <xf numFmtId="0" fontId="12" fillId="7" borderId="9" xfId="0" applyFont="1" applyFill="1" applyBorder="1" applyAlignment="1">
      <alignment vertical="center"/>
    </xf>
    <xf numFmtId="0" fontId="13" fillId="0" borderId="3" xfId="0" applyFont="1" applyFill="1" applyBorder="1" applyProtection="1"/>
    <xf numFmtId="0" fontId="10" fillId="5" borderId="11" xfId="0" applyFont="1" applyFill="1" applyBorder="1"/>
    <xf numFmtId="0" fontId="12" fillId="5" borderId="3" xfId="0" applyFont="1" applyFill="1" applyBorder="1"/>
    <xf numFmtId="0" fontId="10" fillId="3" borderId="0" xfId="0" applyFont="1" applyFill="1" applyBorder="1" applyAlignment="1"/>
    <xf numFmtId="0" fontId="10" fillId="5" borderId="0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center"/>
    </xf>
    <xf numFmtId="0" fontId="10" fillId="11" borderId="0" xfId="0" applyFont="1" applyFill="1" applyBorder="1" applyAlignment="1"/>
    <xf numFmtId="0" fontId="10" fillId="11" borderId="0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right" vertical="center" indent="1"/>
    </xf>
    <xf numFmtId="0" fontId="12" fillId="7" borderId="8" xfId="0" applyFont="1" applyFill="1" applyBorder="1" applyAlignment="1"/>
    <xf numFmtId="0" fontId="10" fillId="11" borderId="8" xfId="0" applyFont="1" applyFill="1" applyBorder="1" applyAlignment="1">
      <alignment horizontal="right" vertical="center" indent="1"/>
    </xf>
    <xf numFmtId="0" fontId="12" fillId="7" borderId="9" xfId="0" applyFont="1" applyFill="1" applyBorder="1" applyAlignment="1"/>
    <xf numFmtId="0" fontId="12" fillId="11" borderId="9" xfId="0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2" fillId="6" borderId="8" xfId="0" applyFont="1" applyFill="1" applyBorder="1" applyAlignment="1"/>
    <xf numFmtId="0" fontId="12" fillId="3" borderId="8" xfId="0" applyFont="1" applyFill="1" applyBorder="1" applyAlignment="1">
      <alignment horizontal="center"/>
    </xf>
    <xf numFmtId="0" fontId="12" fillId="6" borderId="9" xfId="0" applyFont="1" applyFill="1" applyBorder="1"/>
    <xf numFmtId="0" fontId="10" fillId="6" borderId="9" xfId="0" applyFont="1" applyFill="1" applyBorder="1"/>
    <xf numFmtId="0" fontId="10" fillId="6" borderId="8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0" fillId="12" borderId="0" xfId="0" applyFont="1" applyFill="1" applyBorder="1"/>
    <xf numFmtId="0" fontId="12" fillId="12" borderId="0" xfId="0" applyFont="1" applyFill="1" applyBorder="1"/>
    <xf numFmtId="0" fontId="12" fillId="12" borderId="0" xfId="0" applyFont="1" applyFill="1" applyBorder="1" applyAlignment="1">
      <alignment horizontal="center"/>
    </xf>
    <xf numFmtId="2" fontId="10" fillId="12" borderId="0" xfId="0" applyNumberFormat="1" applyFont="1" applyFill="1" applyBorder="1"/>
    <xf numFmtId="2" fontId="12" fillId="12" borderId="0" xfId="0" applyNumberFormat="1" applyFont="1" applyFill="1" applyBorder="1" applyAlignment="1">
      <alignment horizontal="center"/>
    </xf>
    <xf numFmtId="0" fontId="12" fillId="10" borderId="8" xfId="0" applyFont="1" applyFill="1" applyBorder="1"/>
    <xf numFmtId="0" fontId="10" fillId="12" borderId="8" xfId="0" applyFont="1" applyFill="1" applyBorder="1"/>
    <xf numFmtId="0" fontId="10" fillId="10" borderId="0" xfId="0" applyFont="1" applyFill="1" applyBorder="1" applyAlignment="1">
      <alignment horizontal="right"/>
    </xf>
    <xf numFmtId="2" fontId="10" fillId="10" borderId="0" xfId="0" applyNumberFormat="1" applyFont="1" applyFill="1" applyBorder="1" applyAlignment="1">
      <alignment horizontal="right"/>
    </xf>
    <xf numFmtId="0" fontId="10" fillId="10" borderId="8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0" fillId="13" borderId="0" xfId="0" applyFont="1" applyFill="1" applyBorder="1"/>
    <xf numFmtId="0" fontId="12" fillId="13" borderId="0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 vertical="top" wrapText="1"/>
    </xf>
    <xf numFmtId="2" fontId="12" fillId="13" borderId="0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left"/>
    </xf>
    <xf numFmtId="0" fontId="10" fillId="13" borderId="8" xfId="0" applyFont="1" applyFill="1" applyBorder="1"/>
    <xf numFmtId="0" fontId="12" fillId="13" borderId="9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/>
    </xf>
    <xf numFmtId="0" fontId="10" fillId="5" borderId="7" xfId="0" applyFont="1" applyFill="1" applyBorder="1" applyAlignment="1">
      <alignment horizontal="right"/>
    </xf>
    <xf numFmtId="0" fontId="10" fillId="3" borderId="0" xfId="0" applyFont="1" applyFill="1" applyBorder="1" applyProtection="1"/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1" fontId="10" fillId="0" borderId="0" xfId="0" applyNumberFormat="1" applyFont="1" applyFill="1" applyBorder="1" applyProtection="1"/>
    <xf numFmtId="0" fontId="10" fillId="0" borderId="8" xfId="0" applyFont="1" applyFill="1" applyBorder="1" applyProtection="1"/>
    <xf numFmtId="0" fontId="10" fillId="0" borderId="10" xfId="0" applyFont="1" applyFill="1" applyBorder="1" applyProtection="1"/>
    <xf numFmtId="0" fontId="10" fillId="0" borderId="0" xfId="0" applyFont="1" applyFill="1" applyBorder="1" applyAlignment="1" applyProtection="1"/>
    <xf numFmtId="166" fontId="10" fillId="0" borderId="0" xfId="0" applyNumberFormat="1" applyFont="1" applyFill="1" applyBorder="1" applyProtection="1"/>
    <xf numFmtId="0" fontId="10" fillId="0" borderId="5" xfId="0" applyFont="1" applyFill="1" applyBorder="1" applyProtection="1"/>
    <xf numFmtId="0" fontId="10" fillId="0" borderId="6" xfId="0" applyFont="1" applyFill="1" applyBorder="1" applyProtection="1"/>
    <xf numFmtId="165" fontId="10" fillId="0" borderId="0" xfId="0" applyNumberFormat="1" applyFont="1" applyFill="1" applyBorder="1" applyAlignment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2" fillId="13" borderId="9" xfId="0" applyFont="1" applyFill="1" applyBorder="1"/>
    <xf numFmtId="0" fontId="0" fillId="0" borderId="0" xfId="0" applyBorder="1"/>
    <xf numFmtId="166" fontId="10" fillId="12" borderId="0" xfId="0" applyNumberFormat="1" applyFont="1" applyFill="1" applyBorder="1"/>
    <xf numFmtId="0" fontId="10" fillId="12" borderId="0" xfId="0" applyFont="1" applyFill="1" applyBorder="1" applyAlignment="1">
      <alignment horizontal="center"/>
    </xf>
    <xf numFmtId="2" fontId="10" fillId="0" borderId="0" xfId="0" applyNumberFormat="1" applyFont="1" applyBorder="1"/>
    <xf numFmtId="0" fontId="10" fillId="0" borderId="5" xfId="0" applyFont="1" applyFill="1" applyBorder="1"/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2" fillId="0" borderId="4" xfId="0" applyFont="1" applyFill="1" applyBorder="1"/>
    <xf numFmtId="0" fontId="10" fillId="0" borderId="7" xfId="0" applyFont="1" applyFill="1" applyBorder="1"/>
    <xf numFmtId="1" fontId="10" fillId="0" borderId="0" xfId="0" applyNumberFormat="1" applyFont="1" applyFill="1" applyBorder="1" applyProtection="1">
      <protection locked="0"/>
    </xf>
    <xf numFmtId="0" fontId="19" fillId="0" borderId="0" xfId="0" applyFont="1" applyBorder="1"/>
    <xf numFmtId="0" fontId="12" fillId="0" borderId="0" xfId="0" applyFont="1" applyFill="1" applyBorder="1" applyProtection="1"/>
    <xf numFmtId="0" fontId="10" fillId="3" borderId="8" xfId="0" applyFont="1" applyFill="1" applyBorder="1"/>
    <xf numFmtId="0" fontId="10" fillId="14" borderId="0" xfId="0" applyFont="1" applyFill="1" applyBorder="1"/>
    <xf numFmtId="0" fontId="12" fillId="14" borderId="0" xfId="0" applyFont="1" applyFill="1" applyBorder="1"/>
    <xf numFmtId="0" fontId="12" fillId="14" borderId="0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2" fontId="12" fillId="9" borderId="0" xfId="0" applyNumberFormat="1" applyFont="1" applyFill="1" applyBorder="1"/>
    <xf numFmtId="2" fontId="12" fillId="9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1" fillId="9" borderId="0" xfId="0" applyFont="1" applyFill="1" applyBorder="1"/>
    <xf numFmtId="0" fontId="12" fillId="0" borderId="0" xfId="0" applyFont="1" applyBorder="1" applyAlignment="1">
      <alignment horizontal="right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Border="1"/>
    <xf numFmtId="0" fontId="19" fillId="0" borderId="6" xfId="0" applyFont="1" applyBorder="1"/>
    <xf numFmtId="0" fontId="12" fillId="0" borderId="5" xfId="0" applyFont="1" applyFill="1" applyBorder="1" applyAlignment="1" applyProtection="1">
      <alignment horizontal="left" wrapText="1"/>
    </xf>
    <xf numFmtId="2" fontId="10" fillId="5" borderId="0" xfId="0" applyNumberFormat="1" applyFont="1" applyFill="1" applyBorder="1"/>
    <xf numFmtId="0" fontId="12" fillId="5" borderId="9" xfId="0" applyFont="1" applyFill="1" applyBorder="1"/>
    <xf numFmtId="2" fontId="12" fillId="5" borderId="9" xfId="0" applyNumberFormat="1" applyFont="1" applyFill="1" applyBorder="1"/>
    <xf numFmtId="0" fontId="12" fillId="5" borderId="9" xfId="0" applyFont="1" applyFill="1" applyBorder="1" applyAlignment="1">
      <alignment horizontal="right"/>
    </xf>
    <xf numFmtId="0" fontId="12" fillId="6" borderId="0" xfId="0" applyFont="1" applyFill="1" applyBorder="1" applyAlignment="1">
      <alignment wrapText="1"/>
    </xf>
    <xf numFmtId="0" fontId="10" fillId="5" borderId="10" xfId="0" applyFont="1" applyFill="1" applyBorder="1"/>
    <xf numFmtId="0" fontId="12" fillId="5" borderId="8" xfId="0" applyFont="1" applyFill="1" applyBorder="1"/>
    <xf numFmtId="0" fontId="10" fillId="5" borderId="12" xfId="0" applyFont="1" applyFill="1" applyBorder="1"/>
    <xf numFmtId="0" fontId="10" fillId="5" borderId="13" xfId="0" applyFont="1" applyFill="1" applyBorder="1"/>
    <xf numFmtId="0" fontId="12" fillId="5" borderId="13" xfId="0" applyFont="1" applyFill="1" applyBorder="1" applyAlignment="1">
      <alignment horizontal="left" wrapText="1"/>
    </xf>
    <xf numFmtId="2" fontId="12" fillId="5" borderId="8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/>
    </xf>
    <xf numFmtId="0" fontId="10" fillId="6" borderId="0" xfId="0" applyFont="1" applyFill="1" applyBorder="1" applyAlignment="1">
      <alignment wrapText="1"/>
    </xf>
    <xf numFmtId="0" fontId="12" fillId="9" borderId="8" xfId="0" applyFont="1" applyFill="1" applyBorder="1"/>
    <xf numFmtId="0" fontId="10" fillId="9" borderId="8" xfId="0" applyFont="1" applyFill="1" applyBorder="1"/>
    <xf numFmtId="2" fontId="12" fillId="9" borderId="8" xfId="0" applyNumberFormat="1" applyFont="1" applyFill="1" applyBorder="1" applyAlignment="1">
      <alignment horizontal="center"/>
    </xf>
    <xf numFmtId="0" fontId="10" fillId="14" borderId="8" xfId="0" applyFont="1" applyFill="1" applyBorder="1"/>
    <xf numFmtId="0" fontId="10" fillId="3" borderId="0" xfId="0" applyFont="1" applyFill="1" applyBorder="1" applyAlignment="1" applyProtection="1">
      <alignment horizontal="left"/>
    </xf>
    <xf numFmtId="0" fontId="10" fillId="0" borderId="7" xfId="0" applyFont="1" applyFill="1" applyBorder="1" applyProtection="1"/>
    <xf numFmtId="0" fontId="10" fillId="0" borderId="14" xfId="0" applyFont="1" applyFill="1" applyBorder="1" applyProtection="1"/>
    <xf numFmtId="0" fontId="10" fillId="0" borderId="15" xfId="0" applyFont="1" applyFill="1" applyBorder="1" applyProtection="1"/>
    <xf numFmtId="0" fontId="10" fillId="0" borderId="16" xfId="0" applyFont="1" applyFill="1" applyBorder="1" applyProtection="1"/>
    <xf numFmtId="0" fontId="12" fillId="3" borderId="7" xfId="0" applyFont="1" applyFill="1" applyBorder="1" applyProtection="1"/>
    <xf numFmtId="0" fontId="12" fillId="3" borderId="7" xfId="0" applyFont="1" applyFill="1" applyBorder="1" applyProtection="1">
      <protection locked="0"/>
    </xf>
    <xf numFmtId="0" fontId="12" fillId="0" borderId="4" xfId="0" applyFont="1" applyFill="1" applyBorder="1" applyAlignment="1" applyProtection="1">
      <alignment horizontal="left" vertical="center"/>
    </xf>
    <xf numFmtId="166" fontId="12" fillId="10" borderId="0" xfId="0" applyNumberFormat="1" applyFont="1" applyFill="1" applyBorder="1" applyAlignment="1">
      <alignment horizontal="center"/>
    </xf>
    <xf numFmtId="2" fontId="10" fillId="10" borderId="0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166" fontId="10" fillId="6" borderId="0" xfId="0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164" fontId="10" fillId="6" borderId="0" xfId="0" applyNumberFormat="1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2" fontId="10" fillId="7" borderId="0" xfId="0" applyNumberFormat="1" applyFont="1" applyFill="1" applyBorder="1" applyAlignment="1">
      <alignment horizontal="center"/>
    </xf>
    <xf numFmtId="165" fontId="10" fillId="7" borderId="0" xfId="0" applyNumberFormat="1" applyFont="1" applyFill="1" applyBorder="1" applyAlignment="1">
      <alignment horizontal="center"/>
    </xf>
    <xf numFmtId="2" fontId="10" fillId="7" borderId="8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2" fillId="0" borderId="0" xfId="0" applyNumberFormat="1" applyFont="1" applyFill="1" applyBorder="1" applyAlignment="1" applyProtection="1">
      <alignment horizontal="center" wrapText="1"/>
    </xf>
    <xf numFmtId="2" fontId="12" fillId="0" borderId="11" xfId="0" applyNumberFormat="1" applyFont="1" applyFill="1" applyBorder="1" applyAlignment="1" applyProtection="1">
      <alignment horizontal="center" wrapText="1"/>
    </xf>
    <xf numFmtId="166" fontId="10" fillId="0" borderId="0" xfId="0" applyNumberFormat="1" applyFont="1" applyFill="1" applyBorder="1" applyAlignment="1" applyProtection="1">
      <alignment horizontal="center"/>
    </xf>
    <xf numFmtId="2" fontId="10" fillId="0" borderId="11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11" xfId="0" applyFont="1" applyFill="1" applyBorder="1" applyAlignment="1" applyProtection="1">
      <alignment horizontal="center" wrapText="1"/>
    </xf>
    <xf numFmtId="2" fontId="10" fillId="7" borderId="0" xfId="0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10" xfId="0" applyFont="1" applyBorder="1"/>
    <xf numFmtId="0" fontId="10" fillId="0" borderId="5" xfId="0" applyFont="1" applyBorder="1"/>
    <xf numFmtId="0" fontId="10" fillId="0" borderId="11" xfId="0" applyFont="1" applyBorder="1"/>
    <xf numFmtId="0" fontId="10" fillId="0" borderId="8" xfId="0" applyFont="1" applyBorder="1"/>
    <xf numFmtId="0" fontId="10" fillId="0" borderId="8" xfId="0" applyFont="1" applyFill="1" applyBorder="1"/>
    <xf numFmtId="0" fontId="10" fillId="0" borderId="12" xfId="0" applyFont="1" applyBorder="1"/>
    <xf numFmtId="0" fontId="11" fillId="9" borderId="7" xfId="0" applyFont="1" applyFill="1" applyBorder="1"/>
    <xf numFmtId="0" fontId="10" fillId="9" borderId="7" xfId="0" applyFont="1" applyFill="1" applyBorder="1"/>
    <xf numFmtId="0" fontId="10" fillId="14" borderId="7" xfId="0" applyFont="1" applyFill="1" applyBorder="1"/>
    <xf numFmtId="0" fontId="12" fillId="8" borderId="9" xfId="0" applyFont="1" applyFill="1" applyBorder="1" applyAlignment="1"/>
    <xf numFmtId="0" fontId="12" fillId="8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right"/>
    </xf>
    <xf numFmtId="0" fontId="10" fillId="8" borderId="0" xfId="0" applyFont="1" applyFill="1" applyBorder="1"/>
    <xf numFmtId="0" fontId="10" fillId="8" borderId="0" xfId="0" applyFont="1" applyFill="1" applyBorder="1" applyAlignment="1">
      <alignment horizontal="center"/>
    </xf>
    <xf numFmtId="0" fontId="10" fillId="8" borderId="3" xfId="0" applyFont="1" applyFill="1" applyBorder="1" applyAlignment="1"/>
    <xf numFmtId="0" fontId="10" fillId="8" borderId="9" xfId="0" applyFont="1" applyFill="1" applyBorder="1" applyAlignment="1">
      <alignment horizontal="center"/>
    </xf>
    <xf numFmtId="0" fontId="10" fillId="8" borderId="13" xfId="0" applyFont="1" applyFill="1" applyBorder="1" applyAlignment="1"/>
    <xf numFmtId="0" fontId="10" fillId="8" borderId="0" xfId="0" applyFont="1" applyFill="1" applyBorder="1" applyAlignment="1"/>
    <xf numFmtId="0" fontId="10" fillId="8" borderId="0" xfId="0" applyFont="1" applyFill="1" applyBorder="1" applyAlignment="1">
      <alignment horizontal="right"/>
    </xf>
    <xf numFmtId="0" fontId="10" fillId="8" borderId="7" xfId="0" applyFont="1" applyFill="1" applyBorder="1" applyAlignment="1"/>
    <xf numFmtId="0" fontId="10" fillId="8" borderId="7" xfId="0" applyFont="1" applyFill="1" applyBorder="1" applyAlignment="1">
      <alignment horizontal="right"/>
    </xf>
    <xf numFmtId="0" fontId="10" fillId="8" borderId="8" xfId="0" applyFont="1" applyFill="1" applyBorder="1" applyAlignment="1"/>
    <xf numFmtId="0" fontId="10" fillId="8" borderId="8" xfId="0" applyFont="1" applyFill="1" applyBorder="1" applyAlignment="1">
      <alignment horizontal="right"/>
    </xf>
    <xf numFmtId="0" fontId="12" fillId="8" borderId="0" xfId="0" applyFont="1" applyFill="1" applyBorder="1"/>
    <xf numFmtId="2" fontId="10" fillId="8" borderId="0" xfId="0" applyNumberFormat="1" applyFont="1" applyFill="1" applyBorder="1" applyAlignment="1">
      <alignment horizontal="center"/>
    </xf>
    <xf numFmtId="2" fontId="12" fillId="8" borderId="0" xfId="0" applyNumberFormat="1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2" fontId="10" fillId="8" borderId="0" xfId="0" applyNumberFormat="1" applyFont="1" applyFill="1" applyBorder="1" applyAlignment="1"/>
    <xf numFmtId="166" fontId="10" fillId="8" borderId="0" xfId="0" applyNumberFormat="1" applyFont="1" applyFill="1" applyBorder="1" applyAlignment="1">
      <alignment horizontal="center"/>
    </xf>
    <xf numFmtId="2" fontId="10" fillId="8" borderId="0" xfId="0" applyNumberFormat="1" applyFont="1" applyFill="1" applyBorder="1" applyAlignment="1">
      <alignment horizontal="right"/>
    </xf>
    <xf numFmtId="0" fontId="12" fillId="8" borderId="0" xfId="0" applyFont="1" applyFill="1" applyBorder="1" applyAlignment="1">
      <alignment horizontal="left"/>
    </xf>
    <xf numFmtId="165" fontId="10" fillId="8" borderId="0" xfId="0" applyNumberFormat="1" applyFont="1" applyFill="1" applyBorder="1" applyAlignment="1">
      <alignment horizontal="center"/>
    </xf>
    <xf numFmtId="0" fontId="12" fillId="8" borderId="8" xfId="0" applyFont="1" applyFill="1" applyBorder="1" applyAlignment="1">
      <alignment horizontal="left"/>
    </xf>
    <xf numFmtId="2" fontId="12" fillId="8" borderId="8" xfId="0" applyNumberFormat="1" applyFont="1" applyFill="1" applyBorder="1" applyAlignment="1">
      <alignment horizontal="center"/>
    </xf>
    <xf numFmtId="0" fontId="12" fillId="8" borderId="8" xfId="0" applyFont="1" applyFill="1" applyBorder="1" applyAlignment="1">
      <alignment horizontal="right"/>
    </xf>
    <xf numFmtId="0" fontId="12" fillId="15" borderId="9" xfId="0" applyFont="1" applyFill="1" applyBorder="1" applyAlignment="1">
      <alignment horizontal="center"/>
    </xf>
    <xf numFmtId="0" fontId="12" fillId="15" borderId="9" xfId="0" applyFont="1" applyFill="1" applyBorder="1"/>
    <xf numFmtId="0" fontId="10" fillId="15" borderId="0" xfId="0" applyFont="1" applyFill="1" applyBorder="1"/>
    <xf numFmtId="0" fontId="10" fillId="15" borderId="0" xfId="0" applyFont="1" applyFill="1" applyBorder="1" applyAlignment="1">
      <alignment horizontal="center"/>
    </xf>
    <xf numFmtId="0" fontId="12" fillId="15" borderId="0" xfId="0" applyFont="1" applyFill="1" applyBorder="1" applyAlignment="1">
      <alignment horizontal="center"/>
    </xf>
    <xf numFmtId="0" fontId="12" fillId="15" borderId="0" xfId="0" applyFont="1" applyFill="1" applyBorder="1" applyAlignment="1">
      <alignment horizontal="center" vertical="top" wrapText="1"/>
    </xf>
    <xf numFmtId="0" fontId="10" fillId="15" borderId="8" xfId="0" applyFont="1" applyFill="1" applyBorder="1"/>
    <xf numFmtId="2" fontId="12" fillId="10" borderId="8" xfId="0" applyNumberFormat="1" applyFont="1" applyFill="1" applyBorder="1" applyAlignment="1">
      <alignment horizontal="center"/>
    </xf>
    <xf numFmtId="2" fontId="10" fillId="7" borderId="0" xfId="0" applyNumberFormat="1" applyFont="1" applyFill="1" applyBorder="1" applyAlignment="1"/>
    <xf numFmtId="0" fontId="10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right" vertical="center"/>
    </xf>
    <xf numFmtId="0" fontId="10" fillId="11" borderId="8" xfId="0" applyFont="1" applyFill="1" applyBorder="1" applyAlignment="1">
      <alignment horizontal="center" wrapText="1"/>
    </xf>
    <xf numFmtId="2" fontId="12" fillId="7" borderId="8" xfId="0" applyNumberFormat="1" applyFont="1" applyFill="1" applyBorder="1" applyAlignment="1">
      <alignment horizontal="center"/>
    </xf>
    <xf numFmtId="165" fontId="10" fillId="7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65" fontId="10" fillId="6" borderId="0" xfId="0" applyNumberFormat="1" applyFont="1" applyFill="1" applyBorder="1" applyAlignment="1">
      <alignment horizontal="center"/>
    </xf>
    <xf numFmtId="0" fontId="12" fillId="10" borderId="7" xfId="0" applyFont="1" applyFill="1" applyBorder="1"/>
    <xf numFmtId="0" fontId="12" fillId="10" borderId="7" xfId="0" applyFont="1" applyFill="1" applyBorder="1" applyAlignment="1">
      <alignment horizontal="center"/>
    </xf>
    <xf numFmtId="0" fontId="12" fillId="12" borderId="7" xfId="0" applyFont="1" applyFill="1" applyBorder="1"/>
    <xf numFmtId="0" fontId="12" fillId="12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2" borderId="8" xfId="0" applyFont="1" applyFill="1" applyBorder="1"/>
    <xf numFmtId="0" fontId="12" fillId="12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0" borderId="4" xfId="0" applyFont="1" applyFill="1" applyBorder="1" applyProtection="1"/>
    <xf numFmtId="0" fontId="10" fillId="0" borderId="8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2" fillId="0" borderId="6" xfId="0" applyFont="1" applyFill="1" applyBorder="1"/>
    <xf numFmtId="0" fontId="12" fillId="0" borderId="8" xfId="0" applyFont="1" applyFill="1" applyBorder="1" applyProtection="1"/>
    <xf numFmtId="0" fontId="10" fillId="0" borderId="6" xfId="0" applyFont="1" applyFill="1" applyBorder="1"/>
    <xf numFmtId="0" fontId="10" fillId="5" borderId="4" xfId="0" applyFont="1" applyFill="1" applyBorder="1"/>
    <xf numFmtId="0" fontId="10" fillId="5" borderId="7" xfId="0" applyFont="1" applyFill="1" applyBorder="1"/>
    <xf numFmtId="0" fontId="10" fillId="5" borderId="6" xfId="0" applyFont="1" applyFill="1" applyBorder="1" applyAlignment="1"/>
    <xf numFmtId="0" fontId="10" fillId="5" borderId="8" xfId="0" applyFont="1" applyFill="1" applyBorder="1" applyAlignment="1">
      <alignment horizontal="center"/>
    </xf>
    <xf numFmtId="0" fontId="10" fillId="5" borderId="12" xfId="0" applyFont="1" applyFill="1" applyBorder="1" applyAlignment="1"/>
    <xf numFmtId="0" fontId="13" fillId="3" borderId="3" xfId="0" applyFont="1" applyFill="1" applyBorder="1" applyAlignment="1" applyProtection="1">
      <alignment vertical="center"/>
    </xf>
    <xf numFmtId="0" fontId="15" fillId="3" borderId="9" xfId="0" applyFont="1" applyFill="1" applyBorder="1" applyAlignment="1" applyProtection="1">
      <alignment vertical="center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3" borderId="3" xfId="0" applyFont="1" applyFill="1" applyBorder="1" applyAlignment="1" applyProtection="1">
      <alignment vertical="center"/>
    </xf>
    <xf numFmtId="0" fontId="15" fillId="3" borderId="13" xfId="0" applyNumberFormat="1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horizontal="left" vertical="center"/>
    </xf>
    <xf numFmtId="43" fontId="15" fillId="3" borderId="13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3" borderId="9" xfId="0" applyFont="1" applyFill="1" applyBorder="1" applyAlignment="1" applyProtection="1">
      <alignment vertical="center"/>
    </xf>
    <xf numFmtId="0" fontId="13" fillId="3" borderId="13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4" fontId="13" fillId="3" borderId="10" xfId="1" applyNumberFormat="1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vertical="center"/>
    </xf>
    <xf numFmtId="0" fontId="13" fillId="3" borderId="6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" fontId="13" fillId="3" borderId="11" xfId="1" applyNumberFormat="1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left" vertical="center"/>
    </xf>
    <xf numFmtId="2" fontId="13" fillId="3" borderId="0" xfId="0" applyNumberFormat="1" applyFont="1" applyFill="1" applyBorder="1" applyAlignment="1" applyProtection="1">
      <alignment horizontal="left" vertical="center"/>
    </xf>
    <xf numFmtId="1" fontId="13" fillId="0" borderId="0" xfId="0" applyNumberFormat="1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horizontal="left" vertical="center"/>
    </xf>
    <xf numFmtId="0" fontId="13" fillId="3" borderId="1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left" vertical="center"/>
    </xf>
    <xf numFmtId="0" fontId="13" fillId="3" borderId="9" xfId="0" applyFont="1" applyFill="1" applyBorder="1" applyAlignment="1" applyProtection="1">
      <alignment horizontal="left" vertical="center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/>
    <xf numFmtId="0" fontId="10" fillId="3" borderId="8" xfId="0" applyFont="1" applyFill="1" applyBorder="1" applyProtection="1"/>
    <xf numFmtId="0" fontId="10" fillId="3" borderId="8" xfId="0" applyFont="1" applyFill="1" applyBorder="1" applyAlignment="1" applyProtection="1">
      <alignment horizontal="left"/>
    </xf>
    <xf numFmtId="2" fontId="10" fillId="0" borderId="0" xfId="1" applyNumberFormat="1" applyFont="1" applyFill="1" applyBorder="1" applyAlignment="1" applyProtection="1">
      <alignment horizontal="center"/>
      <protection locked="0"/>
    </xf>
    <xf numFmtId="2" fontId="10" fillId="3" borderId="0" xfId="1" applyNumberFormat="1" applyFont="1" applyFill="1" applyBorder="1" applyAlignment="1" applyProtection="1">
      <alignment horizontal="center"/>
    </xf>
    <xf numFmtId="2" fontId="10" fillId="0" borderId="8" xfId="1" applyNumberFormat="1" applyFont="1" applyFill="1" applyBorder="1" applyAlignment="1" applyProtection="1">
      <alignment horizontal="center"/>
      <protection locked="0"/>
    </xf>
    <xf numFmtId="2" fontId="10" fillId="3" borderId="8" xfId="1" applyNumberFormat="1" applyFont="1" applyFill="1" applyBorder="1" applyAlignment="1" applyProtection="1">
      <alignment horizontal="center"/>
    </xf>
    <xf numFmtId="4" fontId="13" fillId="3" borderId="13" xfId="1" applyNumberFormat="1" applyFont="1" applyFill="1" applyBorder="1" applyAlignment="1" applyProtection="1">
      <alignment vertical="center"/>
    </xf>
    <xf numFmtId="2" fontId="13" fillId="3" borderId="11" xfId="0" applyNumberFormat="1" applyFont="1" applyFill="1" applyBorder="1" applyAlignment="1" applyProtection="1">
      <alignment vertical="center"/>
    </xf>
    <xf numFmtId="2" fontId="13" fillId="3" borderId="12" xfId="0" applyNumberFormat="1" applyFont="1" applyFill="1" applyBorder="1" applyAlignment="1" applyProtection="1">
      <alignment vertical="center"/>
    </xf>
    <xf numFmtId="0" fontId="12" fillId="5" borderId="0" xfId="0" applyFont="1" applyFill="1" applyBorder="1" applyProtection="1"/>
    <xf numFmtId="0" fontId="10" fillId="5" borderId="0" xfId="0" applyFont="1" applyFill="1" applyBorder="1" applyProtection="1"/>
    <xf numFmtId="0" fontId="10" fillId="5" borderId="9" xfId="0" applyFont="1" applyFill="1" applyBorder="1"/>
    <xf numFmtId="0" fontId="10" fillId="5" borderId="5" xfId="0" applyFont="1" applyFill="1" applyBorder="1"/>
    <xf numFmtId="0" fontId="10" fillId="5" borderId="6" xfId="0" applyFont="1" applyFill="1" applyBorder="1"/>
    <xf numFmtId="0" fontId="10" fillId="5" borderId="7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2" fontId="13" fillId="10" borderId="0" xfId="0" applyNumberFormat="1" applyFont="1" applyFill="1" applyBorder="1" applyAlignment="1" applyProtection="1">
      <alignment horizontal="center"/>
    </xf>
    <xf numFmtId="0" fontId="12" fillId="6" borderId="0" xfId="0" applyFont="1" applyFill="1" applyBorder="1" applyAlignment="1">
      <alignment horizontal="right"/>
    </xf>
    <xf numFmtId="2" fontId="12" fillId="6" borderId="8" xfId="0" applyNumberFormat="1" applyFont="1" applyFill="1" applyBorder="1" applyAlignment="1">
      <alignment horizontal="center"/>
    </xf>
    <xf numFmtId="165" fontId="10" fillId="16" borderId="0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166" fontId="10" fillId="7" borderId="0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/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0" fontId="10" fillId="0" borderId="4" xfId="0" applyFont="1" applyBorder="1"/>
    <xf numFmtId="2" fontId="12" fillId="9" borderId="8" xfId="0" applyNumberFormat="1" applyFont="1" applyFill="1" applyBorder="1"/>
    <xf numFmtId="2" fontId="10" fillId="9" borderId="0" xfId="0" applyNumberFormat="1" applyFont="1" applyFill="1" applyBorder="1" applyAlignment="1">
      <alignment horizontal="right"/>
    </xf>
    <xf numFmtId="0" fontId="10" fillId="0" borderId="6" xfId="0" applyFont="1" applyBorder="1"/>
    <xf numFmtId="164" fontId="10" fillId="9" borderId="0" xfId="0" applyNumberFormat="1" applyFont="1" applyFill="1" applyBorder="1" applyAlignment="1">
      <alignment horizontal="center"/>
    </xf>
    <xf numFmtId="164" fontId="12" fillId="9" borderId="0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5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22" fillId="0" borderId="11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22" fillId="0" borderId="5" xfId="0" applyFont="1" applyBorder="1"/>
    <xf numFmtId="0" fontId="22" fillId="0" borderId="0" xfId="0" applyFont="1" applyBorder="1"/>
    <xf numFmtId="0" fontId="22" fillId="0" borderId="11" xfId="0" applyFont="1" applyBorder="1"/>
    <xf numFmtId="0" fontId="22" fillId="0" borderId="6" xfId="0" applyFont="1" applyBorder="1"/>
    <xf numFmtId="0" fontId="22" fillId="0" borderId="8" xfId="0" applyFont="1" applyBorder="1"/>
    <xf numFmtId="0" fontId="22" fillId="0" borderId="12" xfId="0" applyFont="1" applyBorder="1"/>
    <xf numFmtId="0" fontId="10" fillId="0" borderId="0" xfId="0" applyFont="1" applyBorder="1" applyAlignment="1">
      <alignment horizontal="right"/>
    </xf>
    <xf numFmtId="0" fontId="23" fillId="0" borderId="5" xfId="0" applyFont="1" applyBorder="1"/>
    <xf numFmtId="0" fontId="24" fillId="0" borderId="0" xfId="0" applyFont="1" applyBorder="1"/>
    <xf numFmtId="0" fontId="24" fillId="0" borderId="4" xfId="0" applyFont="1" applyBorder="1"/>
    <xf numFmtId="0" fontId="24" fillId="0" borderId="7" xfId="0" applyFont="1" applyBorder="1"/>
    <xf numFmtId="0" fontId="24" fillId="0" borderId="10" xfId="0" applyFont="1" applyBorder="1"/>
    <xf numFmtId="0" fontId="24" fillId="0" borderId="5" xfId="0" applyFont="1" applyBorder="1"/>
    <xf numFmtId="0" fontId="24" fillId="0" borderId="11" xfId="0" applyFont="1" applyBorder="1"/>
    <xf numFmtId="0" fontId="24" fillId="0" borderId="5" xfId="0" applyFont="1" applyBorder="1" applyAlignment="1">
      <alignment horizontal="left"/>
    </xf>
    <xf numFmtId="0" fontId="24" fillId="0" borderId="8" xfId="0" applyFont="1" applyBorder="1"/>
    <xf numFmtId="0" fontId="24" fillId="0" borderId="12" xfId="0" applyFont="1" applyBorder="1"/>
    <xf numFmtId="0" fontId="25" fillId="0" borderId="5" xfId="0" applyFont="1" applyBorder="1"/>
    <xf numFmtId="1" fontId="24" fillId="0" borderId="11" xfId="0" applyNumberFormat="1" applyFont="1" applyBorder="1"/>
    <xf numFmtId="1" fontId="25" fillId="0" borderId="11" xfId="0" applyNumberFormat="1" applyFont="1" applyBorder="1"/>
    <xf numFmtId="1" fontId="25" fillId="0" borderId="0" xfId="0" applyNumberFormat="1" applyFont="1" applyBorder="1"/>
    <xf numFmtId="2" fontId="12" fillId="9" borderId="0" xfId="0" applyNumberFormat="1" applyFont="1" applyFill="1" applyBorder="1" applyAlignment="1">
      <alignment horizontal="right"/>
    </xf>
    <xf numFmtId="0" fontId="10" fillId="9" borderId="0" xfId="0" applyFont="1" applyFill="1" applyBorder="1" applyAlignment="1">
      <alignment horizontal="right"/>
    </xf>
    <xf numFmtId="165" fontId="10" fillId="9" borderId="0" xfId="0" applyNumberFormat="1" applyFont="1" applyFill="1" applyBorder="1"/>
    <xf numFmtId="0" fontId="12" fillId="9" borderId="0" xfId="0" applyFont="1" applyFill="1" applyBorder="1" applyAlignment="1">
      <alignment horizontal="right"/>
    </xf>
    <xf numFmtId="0" fontId="12" fillId="9" borderId="8" xfId="0" applyFont="1" applyFill="1" applyBorder="1" applyAlignment="1">
      <alignment horizontal="right"/>
    </xf>
    <xf numFmtId="0" fontId="12" fillId="17" borderId="0" xfId="0" applyFont="1" applyFill="1" applyBorder="1" applyAlignment="1">
      <alignment horizontal="center"/>
    </xf>
    <xf numFmtId="0" fontId="10" fillId="18" borderId="0" xfId="0" applyFont="1" applyFill="1" applyBorder="1"/>
    <xf numFmtId="0" fontId="10" fillId="5" borderId="8" xfId="0" applyFont="1" applyFill="1" applyBorder="1"/>
    <xf numFmtId="0" fontId="11" fillId="4" borderId="0" xfId="0" applyFont="1" applyFill="1" applyBorder="1"/>
    <xf numFmtId="0" fontId="26" fillId="4" borderId="0" xfId="0" applyFont="1" applyFill="1" applyBorder="1"/>
    <xf numFmtId="0" fontId="0" fillId="4" borderId="0" xfId="0" applyFill="1" applyBorder="1"/>
    <xf numFmtId="0" fontId="10" fillId="4" borderId="0" xfId="0" applyFont="1" applyFill="1" applyBorder="1"/>
    <xf numFmtId="0" fontId="12" fillId="19" borderId="0" xfId="0" applyFont="1" applyFill="1" applyBorder="1"/>
    <xf numFmtId="0" fontId="12" fillId="19" borderId="0" xfId="0" applyFont="1" applyFill="1" applyBorder="1" applyAlignment="1">
      <alignment horizontal="right"/>
    </xf>
    <xf numFmtId="0" fontId="10" fillId="19" borderId="0" xfId="0" applyFont="1" applyFill="1" applyBorder="1"/>
    <xf numFmtId="0" fontId="26" fillId="19" borderId="0" xfId="0" applyFont="1" applyFill="1" applyBorder="1"/>
    <xf numFmtId="3" fontId="10" fillId="19" borderId="0" xfId="0" applyNumberFormat="1" applyFont="1" applyFill="1" applyBorder="1"/>
    <xf numFmtId="0" fontId="12" fillId="19" borderId="0" xfId="0" applyFont="1" applyFill="1" applyBorder="1" applyAlignment="1">
      <alignment horizontal="left"/>
    </xf>
    <xf numFmtId="2" fontId="10" fillId="19" borderId="0" xfId="0" applyNumberFormat="1" applyFont="1" applyFill="1" applyBorder="1" applyAlignment="1">
      <alignment horizontal="right"/>
    </xf>
    <xf numFmtId="2" fontId="10" fillId="19" borderId="0" xfId="0" applyNumberFormat="1" applyFont="1" applyFill="1" applyBorder="1"/>
    <xf numFmtId="0" fontId="1" fillId="4" borderId="0" xfId="0" applyFont="1" applyFill="1" applyBorder="1"/>
    <xf numFmtId="0" fontId="12" fillId="20" borderId="9" xfId="0" applyFont="1" applyFill="1" applyBorder="1"/>
    <xf numFmtId="0" fontId="12" fillId="20" borderId="9" xfId="0" applyFont="1" applyFill="1" applyBorder="1" applyAlignment="1">
      <alignment horizontal="center"/>
    </xf>
    <xf numFmtId="0" fontId="10" fillId="20" borderId="0" xfId="0" applyFont="1" applyFill="1" applyBorder="1"/>
    <xf numFmtId="0" fontId="12" fillId="20" borderId="0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right"/>
    </xf>
    <xf numFmtId="2" fontId="10" fillId="20" borderId="0" xfId="0" applyNumberFormat="1" applyFont="1" applyFill="1" applyBorder="1" applyAlignment="1">
      <alignment horizontal="center"/>
    </xf>
    <xf numFmtId="165" fontId="10" fillId="20" borderId="0" xfId="0" applyNumberFormat="1" applyFont="1" applyFill="1" applyBorder="1" applyAlignment="1">
      <alignment horizontal="center"/>
    </xf>
    <xf numFmtId="0" fontId="12" fillId="20" borderId="8" xfId="0" applyFont="1" applyFill="1" applyBorder="1"/>
    <xf numFmtId="2" fontId="12" fillId="20" borderId="8" xfId="0" applyNumberFormat="1" applyFont="1" applyFill="1" applyBorder="1" applyAlignment="1">
      <alignment horizontal="center"/>
    </xf>
    <xf numFmtId="0" fontId="12" fillId="20" borderId="8" xfId="0" applyFont="1" applyFill="1" applyBorder="1" applyAlignment="1">
      <alignment horizontal="right"/>
    </xf>
    <xf numFmtId="0" fontId="12" fillId="21" borderId="9" xfId="0" applyFont="1" applyFill="1" applyBorder="1" applyAlignment="1">
      <alignment horizontal="center"/>
    </xf>
    <xf numFmtId="0" fontId="10" fillId="21" borderId="0" xfId="0" applyFont="1" applyFill="1" applyBorder="1"/>
    <xf numFmtId="0" fontId="10" fillId="21" borderId="0" xfId="0" applyFont="1" applyFill="1" applyBorder="1" applyAlignment="1">
      <alignment horizontal="center"/>
    </xf>
    <xf numFmtId="0" fontId="12" fillId="21" borderId="0" xfId="0" applyFont="1" applyFill="1" applyBorder="1" applyAlignment="1">
      <alignment horizontal="center"/>
    </xf>
    <xf numFmtId="0" fontId="12" fillId="21" borderId="8" xfId="0" applyFont="1" applyFill="1" applyBorder="1"/>
    <xf numFmtId="0" fontId="13" fillId="3" borderId="6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left"/>
      <protection locked="0"/>
    </xf>
    <xf numFmtId="0" fontId="15" fillId="3" borderId="9" xfId="0" applyFont="1" applyFill="1" applyBorder="1" applyAlignment="1" applyProtection="1">
      <alignment horizontal="left"/>
      <protection locked="0"/>
    </xf>
    <xf numFmtId="0" fontId="15" fillId="3" borderId="13" xfId="0" applyFont="1" applyFill="1" applyBorder="1" applyAlignment="1" applyProtection="1">
      <alignment horizontal="left"/>
      <protection locked="0"/>
    </xf>
  </cellXfs>
  <cellStyles count="50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DFFA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summary'!$K$4:$K$6</c:f>
              <c:strCache>
                <c:ptCount val="3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</c:strCache>
            </c:strRef>
          </c:cat>
          <c:val>
            <c:numRef>
              <c:f>'Data summary'!$L$4:$L$6</c:f>
              <c:numCache>
                <c:formatCode>0.00</c:formatCode>
                <c:ptCount val="3"/>
                <c:pt idx="0">
                  <c:v>10.532419883752679</c:v>
                </c:pt>
                <c:pt idx="1">
                  <c:v>88.713266701999999</c:v>
                </c:pt>
                <c:pt idx="2">
                  <c:v>1265.6618157988194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Pt>
            <c:idx val="6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summary'!$I$4:$I$14</c:f>
              <c:strCache>
                <c:ptCount val="11"/>
                <c:pt idx="0">
                  <c:v>CO2 -Energy</c:v>
                </c:pt>
                <c:pt idx="1">
                  <c:v>CO2 -Lime</c:v>
                </c:pt>
                <c:pt idx="2">
                  <c:v>CO2 - Urea Application</c:v>
                </c:pt>
                <c:pt idx="3">
                  <c:v>CH4 - Field Burning</c:v>
                </c:pt>
                <c:pt idx="4">
                  <c:v>CH4 - Energy</c:v>
                </c:pt>
                <c:pt idx="5">
                  <c:v>N2O - Fertiliser</c:v>
                </c:pt>
                <c:pt idx="6">
                  <c:v>N2O - Crop residues</c:v>
                </c:pt>
                <c:pt idx="7">
                  <c:v>N2O - Atmospheric deposition</c:v>
                </c:pt>
                <c:pt idx="8">
                  <c:v>N2O - Leaching and Runoff</c:v>
                </c:pt>
                <c:pt idx="9">
                  <c:v>N2O - Field Burning</c:v>
                </c:pt>
                <c:pt idx="10">
                  <c:v>N2O - Energy</c:v>
                </c:pt>
              </c:strCache>
            </c:strRef>
          </c:cat>
          <c:val>
            <c:numRef>
              <c:f>'Data summary'!$J$4:$J$14</c:f>
              <c:numCache>
                <c:formatCode>#,##0.00</c:formatCode>
                <c:ptCount val="11"/>
                <c:pt idx="0">
                  <c:v>10.532419883752679</c:v>
                </c:pt>
                <c:pt idx="1">
                  <c:v>0.39599999999999996</c:v>
                </c:pt>
                <c:pt idx="2">
                  <c:v>0</c:v>
                </c:pt>
                <c:pt idx="3">
                  <c:v>88.703999999999994</c:v>
                </c:pt>
                <c:pt idx="4">
                  <c:v>9.2667019999999999E-3</c:v>
                </c:pt>
                <c:pt idx="5">
                  <c:v>533.3774285714286</c:v>
                </c:pt>
                <c:pt idx="6">
                  <c:v>458.93094311428575</c:v>
                </c:pt>
                <c:pt idx="7">
                  <c:v>53.337742857142864</c:v>
                </c:pt>
                <c:pt idx="8">
                  <c:v>179.40781050339083</c:v>
                </c:pt>
                <c:pt idx="9">
                  <c:v>40.589357348571419</c:v>
                </c:pt>
                <c:pt idx="10">
                  <c:v>1.8533404E-2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203281142932303"/>
          <c:y val="4.6238907211275701E-2"/>
          <c:w val="0.31108559918454398"/>
          <c:h val="0.8929626137710160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8" dropStyle="combo" dx="16" fmlaLink="$C$8" fmlaRange="Fertiliser!$C$64:$C$68" sel="1" val="0"/>
</file>

<file path=xl/ctrlProps/ctrlProp10.xml><?xml version="1.0" encoding="utf-8"?>
<formControlPr xmlns="http://schemas.microsoft.com/office/spreadsheetml/2009/9/main" objectType="Drop" dropLines="68" dropStyle="combo" dx="16" fmlaLink="$F$7" fmlaRange="'Crop Residues'!$C$41:$C$56" sel="15" val="0"/>
</file>

<file path=xl/ctrlProps/ctrlProp11.xml><?xml version="1.0" encoding="utf-8"?>
<formControlPr xmlns="http://schemas.microsoft.com/office/spreadsheetml/2009/9/main" objectType="Drop" dropLines="68" dropStyle="combo" dx="16" fmlaLink="$C$3" fmlaRange="'Electricity &amp; Diesel'!$L$4:$L$12" sel="6" val="0"/>
</file>

<file path=xl/ctrlProps/ctrlProp12.xml><?xml version="1.0" encoding="utf-8"?>
<formControlPr xmlns="http://schemas.microsoft.com/office/spreadsheetml/2009/9/main" objectType="Drop" dropLines="68" dropStyle="combo" dx="16" fmlaLink="$D$9" fmlaRange="Fertiliser!$C$6:$C$7" sel="2" val="0"/>
</file>

<file path=xl/ctrlProps/ctrlProp13.xml><?xml version="1.0" encoding="utf-8"?>
<formControlPr xmlns="http://schemas.microsoft.com/office/spreadsheetml/2009/9/main" objectType="Drop" dropLines="68" dropStyle="combo" dx="16" fmlaLink="$E$9" fmlaRange="Fertiliser!$C$6:$C$7" sel="2" val="0"/>
</file>

<file path=xl/ctrlProps/ctrlProp14.xml><?xml version="1.0" encoding="utf-8"?>
<formControlPr xmlns="http://schemas.microsoft.com/office/spreadsheetml/2009/9/main" objectType="Drop" dropLines="68" dropStyle="combo" dx="16" fmlaLink="$F$9" fmlaRange="Fertiliser!$C$6:$C$7" sel="2" val="0"/>
</file>

<file path=xl/ctrlProps/ctrlProp2.xml><?xml version="1.0" encoding="utf-8"?>
<formControlPr xmlns="http://schemas.microsoft.com/office/spreadsheetml/2009/9/main" objectType="Drop" dropLines="68" dropStyle="combo" dx="16" fmlaLink="$D$8" fmlaRange="Fertiliser!$C$64:$C$68" sel="1" val="0"/>
</file>

<file path=xl/ctrlProps/ctrlProp3.xml><?xml version="1.0" encoding="utf-8"?>
<formControlPr xmlns="http://schemas.microsoft.com/office/spreadsheetml/2009/9/main" objectType="Drop" dropLines="68" dropStyle="combo" dx="16" fmlaLink="$E$8" fmlaRange="Fertiliser!$C$64:$C$68" sel="2" val="0"/>
</file>

<file path=xl/ctrlProps/ctrlProp4.xml><?xml version="1.0" encoding="utf-8"?>
<formControlPr xmlns="http://schemas.microsoft.com/office/spreadsheetml/2009/9/main" objectType="Drop" dropLines="68" dropStyle="combo" dx="16" fmlaLink="$F$8" fmlaRange="Fertiliser!$C$64:$C$68" sel="2" val="0"/>
</file>

<file path=xl/ctrlProps/ctrlProp5.xml><?xml version="1.0" encoding="utf-8"?>
<formControlPr xmlns="http://schemas.microsoft.com/office/spreadsheetml/2009/9/main" objectType="Drop" dropLines="68" dropStyle="combo" dx="16" fmlaLink="$C$9" fmlaRange="Fertiliser!$C$6:$C$7" sel="2" val="0"/>
</file>

<file path=xl/ctrlProps/ctrlProp6.xml><?xml version="1.0" encoding="utf-8"?>
<formControlPr xmlns="http://schemas.microsoft.com/office/spreadsheetml/2009/9/main" objectType="Drop" dropLines="68" dropStyle="combo" dx="16" fmlaLink="$C$5" fmlaRange="'Electricity &amp; Diesel'!$L$16:$L$17" sel="1" val="0"/>
</file>

<file path=xl/ctrlProps/ctrlProp7.xml><?xml version="1.0" encoding="utf-8"?>
<formControlPr xmlns="http://schemas.microsoft.com/office/spreadsheetml/2009/9/main" objectType="Drop" dropLines="68" dropStyle="combo" dx="16" fmlaLink="$C$7" fmlaRange="'Crop Residues'!$C$41:$C$56" sel="1" val="0"/>
</file>

<file path=xl/ctrlProps/ctrlProp8.xml><?xml version="1.0" encoding="utf-8"?>
<formControlPr xmlns="http://schemas.microsoft.com/office/spreadsheetml/2009/9/main" objectType="Drop" dropLines="68" dropStyle="combo" dx="16" fmlaLink="$D$7" fmlaRange="'Crop Residues'!$C$41:$C$56" sel="2" val="0"/>
</file>

<file path=xl/ctrlProps/ctrlProp9.xml><?xml version="1.0" encoding="utf-8"?>
<formControlPr xmlns="http://schemas.microsoft.com/office/spreadsheetml/2009/9/main" objectType="Drop" dropLines="68" dropStyle="combo" dx="16" fmlaLink="$E$7" fmlaRange="'Crop Residues'!$C$41:$C$56" sel="9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79374</xdr:colOff>
      <xdr:row>7</xdr:row>
      <xdr:rowOff>215900</xdr:rowOff>
    </xdr:from>
    <xdr:to>
      <xdr:col>12</xdr:col>
      <xdr:colOff>29883</xdr:colOff>
      <xdr:row>14</xdr:row>
      <xdr:rowOff>134470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183873</xdr:colOff>
      <xdr:row>8</xdr:row>
      <xdr:rowOff>62416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8856133" y="1363133"/>
          <a:ext cx="1779305" cy="3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AU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Greenhouse Gas Profile</a:t>
          </a:r>
        </a:p>
        <a:p>
          <a:pPr algn="ctr" rtl="0">
            <a:defRPr sz="1000"/>
          </a:pPr>
          <a:r>
            <a:rPr lang="en-AU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Summary</a:t>
          </a:r>
        </a:p>
      </xdr:txBody>
    </xdr:sp>
    <xdr:clientData/>
  </xdr:twoCellAnchor>
  <xdr:twoCellAnchor>
    <xdr:from>
      <xdr:col>8</xdr:col>
      <xdr:colOff>26456</xdr:colOff>
      <xdr:row>15</xdr:row>
      <xdr:rowOff>115357</xdr:rowOff>
    </xdr:from>
    <xdr:to>
      <xdr:col>11</xdr:col>
      <xdr:colOff>1155699</xdr:colOff>
      <xdr:row>37</xdr:row>
      <xdr:rowOff>42333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38098</xdr:colOff>
      <xdr:row>24</xdr:row>
      <xdr:rowOff>9525</xdr:rowOff>
    </xdr:from>
    <xdr:ext cx="5153026" cy="809625"/>
    <xdr:sp macro="" textlink="">
      <xdr:nvSpPr>
        <xdr:cNvPr id="7" name="AutoShape 42"/>
        <xdr:cNvSpPr/>
      </xdr:nvSpPr>
      <xdr:spPr>
        <a:xfrm flipH="1">
          <a:off x="38098" y="5534025"/>
          <a:ext cx="5153026" cy="809625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ln/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="horz" wrap="square" lIns="27432" tIns="22860" rIns="0" bIns="0" anchor="t" anchorCtr="1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AU" sz="1200" b="0" i="0" u="none" strike="noStrike" kern="0" cap="none" spc="0" baseline="0">
              <a:solidFill>
                <a:srgbClr val="000000"/>
              </a:solidFill>
              <a:uFillTx/>
              <a:latin typeface="Times New Roman" pitchFamily="18"/>
              <a:cs typeface="Times New Roman" pitchFamily="18"/>
            </a:rPr>
            <a:t>Citation: 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Eckard R.J., Taylor C. (2016). A </a:t>
          </a:r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reenhouse </a:t>
          </a:r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ccounting </a:t>
          </a:r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ramework for </a:t>
          </a:r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rain and cropping properties (G-GAF) based on the Australian National Greenhouse Gas Inventory methodology. Updated July 2016. http://www.greenhouse.unimelb.edu.au/Tools.htm</a:t>
          </a:r>
        </a:p>
      </xdr:txBody>
    </xdr:sp>
    <xdr:clientData/>
  </xdr:oneCellAnchor>
  <xdr:twoCellAnchor editAs="oneCell">
    <xdr:from>
      <xdr:col>4</xdr:col>
      <xdr:colOff>409575</xdr:colOff>
      <xdr:row>24</xdr:row>
      <xdr:rowOff>19050</xdr:rowOff>
    </xdr:from>
    <xdr:to>
      <xdr:col>5</xdr:col>
      <xdr:colOff>352426</xdr:colOff>
      <xdr:row>29</xdr:row>
      <xdr:rowOff>47625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52" t="10077" r="14106" b="10077"/>
        <a:stretch/>
      </xdr:blipFill>
      <xdr:spPr>
        <a:xfrm>
          <a:off x="5267325" y="5695950"/>
          <a:ext cx="923926" cy="981075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24</xdr:row>
      <xdr:rowOff>0</xdr:rowOff>
    </xdr:from>
    <xdr:to>
      <xdr:col>6</xdr:col>
      <xdr:colOff>1584008</xdr:colOff>
      <xdr:row>29</xdr:row>
      <xdr:rowOff>19050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5676900"/>
          <a:ext cx="2088833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48297</xdr:colOff>
      <xdr:row>6</xdr:row>
      <xdr:rowOff>33547</xdr:rowOff>
    </xdr:from>
    <xdr:to>
      <xdr:col>10</xdr:col>
      <xdr:colOff>771293</xdr:colOff>
      <xdr:row>18</xdr:row>
      <xdr:rowOff>235580</xdr:rowOff>
    </xdr:to>
    <xdr:pic>
      <xdr:nvPicPr>
        <xdr:cNvPr id="7481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8" t="11375" r="8910" b="7942"/>
        <a:stretch>
          <a:fillRect/>
        </a:stretch>
      </xdr:blipFill>
      <xdr:spPr bwMode="auto">
        <a:xfrm>
          <a:off x="10075524" y="1531570"/>
          <a:ext cx="3996133" cy="3215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7</xdr:row>
          <xdr:rowOff>238125</xdr:rowOff>
        </xdr:to>
        <xdr:sp macro="" textlink="">
          <xdr:nvSpPr>
            <xdr:cNvPr id="74789" name="Drop Down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238125</xdr:rowOff>
        </xdr:from>
        <xdr:to>
          <xdr:col>4</xdr:col>
          <xdr:colOff>9525</xdr:colOff>
          <xdr:row>7</xdr:row>
          <xdr:rowOff>238125</xdr:rowOff>
        </xdr:to>
        <xdr:sp macro="" textlink="">
          <xdr:nvSpPr>
            <xdr:cNvPr id="74791" name="Drop Down 39" hidden="1">
              <a:extLst>
                <a:ext uri="{63B3BB69-23CF-44E3-9099-C40C66FF867C}">
                  <a14:compatExt spid="_x0000_s7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</xdr:row>
          <xdr:rowOff>238125</xdr:rowOff>
        </xdr:from>
        <xdr:to>
          <xdr:col>5</xdr:col>
          <xdr:colOff>28575</xdr:colOff>
          <xdr:row>7</xdr:row>
          <xdr:rowOff>228600</xdr:rowOff>
        </xdr:to>
        <xdr:sp macro="" textlink="">
          <xdr:nvSpPr>
            <xdr:cNvPr id="74792" name="Drop Down 40" hidden="1">
              <a:extLst>
                <a:ext uri="{63B3BB69-23CF-44E3-9099-C40C66FF867C}">
                  <a14:compatExt spid="_x0000_s7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238125</xdr:rowOff>
        </xdr:from>
        <xdr:to>
          <xdr:col>6</xdr:col>
          <xdr:colOff>28575</xdr:colOff>
          <xdr:row>7</xdr:row>
          <xdr:rowOff>238125</xdr:rowOff>
        </xdr:to>
        <xdr:sp macro="" textlink="">
          <xdr:nvSpPr>
            <xdr:cNvPr id="74793" name="Drop Down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0</xdr:rowOff>
        </xdr:from>
        <xdr:to>
          <xdr:col>2</xdr:col>
          <xdr:colOff>1247775</xdr:colOff>
          <xdr:row>8</xdr:row>
          <xdr:rowOff>238125</xdr:rowOff>
        </xdr:to>
        <xdr:sp macro="" textlink="">
          <xdr:nvSpPr>
            <xdr:cNvPr id="74797" name="Drop Down 45" hidden="1">
              <a:extLst>
                <a:ext uri="{63B3BB69-23CF-44E3-9099-C40C66FF867C}">
                  <a14:compatExt spid="_x0000_s7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28575</xdr:rowOff>
        </xdr:from>
        <xdr:to>
          <xdr:col>3</xdr:col>
          <xdr:colOff>0</xdr:colOff>
          <xdr:row>5</xdr:row>
          <xdr:rowOff>0</xdr:rowOff>
        </xdr:to>
        <xdr:sp macro="" textlink="">
          <xdr:nvSpPr>
            <xdr:cNvPr id="74798" name="Drop Down 46" hidden="1">
              <a:extLst>
                <a:ext uri="{63B3BB69-23CF-44E3-9099-C40C66FF867C}">
                  <a14:compatExt spid="_x0000_s7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0</xdr:colOff>
          <xdr:row>6</xdr:row>
          <xdr:rowOff>238125</xdr:rowOff>
        </xdr:to>
        <xdr:sp macro="" textlink="">
          <xdr:nvSpPr>
            <xdr:cNvPr id="74799" name="Drop Down 47" hidden="1">
              <a:extLst>
                <a:ext uri="{63B3BB69-23CF-44E3-9099-C40C66FF867C}">
                  <a14:compatExt spid="_x0000_s74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9525</xdr:rowOff>
        </xdr:from>
        <xdr:to>
          <xdr:col>4</xdr:col>
          <xdr:colOff>9525</xdr:colOff>
          <xdr:row>6</xdr:row>
          <xdr:rowOff>238125</xdr:rowOff>
        </xdr:to>
        <xdr:sp macro="" textlink="">
          <xdr:nvSpPr>
            <xdr:cNvPr id="74800" name="Drop Down 48" hidden="1">
              <a:extLst>
                <a:ext uri="{63B3BB69-23CF-44E3-9099-C40C66FF867C}">
                  <a14:compatExt spid="_x0000_s74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28575</xdr:rowOff>
        </xdr:from>
        <xdr:to>
          <xdr:col>5</xdr:col>
          <xdr:colOff>28575</xdr:colOff>
          <xdr:row>6</xdr:row>
          <xdr:rowOff>238125</xdr:rowOff>
        </xdr:to>
        <xdr:sp macro="" textlink="">
          <xdr:nvSpPr>
            <xdr:cNvPr id="74801" name="Drop Down 49" hidden="1">
              <a:extLst>
                <a:ext uri="{63B3BB69-23CF-44E3-9099-C40C66FF867C}">
                  <a14:compatExt spid="_x0000_s7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9525</xdr:rowOff>
        </xdr:from>
        <xdr:to>
          <xdr:col>6</xdr:col>
          <xdr:colOff>28575</xdr:colOff>
          <xdr:row>6</xdr:row>
          <xdr:rowOff>238125</xdr:rowOff>
        </xdr:to>
        <xdr:sp macro="" textlink="">
          <xdr:nvSpPr>
            <xdr:cNvPr id="74802" name="Drop Down 50" hidden="1">
              <a:extLst>
                <a:ext uri="{63B3BB69-23CF-44E3-9099-C40C66FF867C}">
                  <a14:compatExt spid="_x0000_s7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</xdr:row>
          <xdr:rowOff>38100</xdr:rowOff>
        </xdr:from>
        <xdr:to>
          <xdr:col>3</xdr:col>
          <xdr:colOff>9525</xdr:colOff>
          <xdr:row>3</xdr:row>
          <xdr:rowOff>9525</xdr:rowOff>
        </xdr:to>
        <xdr:sp macro="" textlink="">
          <xdr:nvSpPr>
            <xdr:cNvPr id="74807" name="Drop Down 55" hidden="1">
              <a:extLst>
                <a:ext uri="{63B3BB69-23CF-44E3-9099-C40C66FF867C}">
                  <a14:compatExt spid="_x0000_s7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9525</xdr:rowOff>
        </xdr:from>
        <xdr:to>
          <xdr:col>4</xdr:col>
          <xdr:colOff>28575</xdr:colOff>
          <xdr:row>8</xdr:row>
          <xdr:rowOff>257175</xdr:rowOff>
        </xdr:to>
        <xdr:sp macro="" textlink="">
          <xdr:nvSpPr>
            <xdr:cNvPr id="74808" name="Drop Down 56" hidden="1">
              <a:extLst>
                <a:ext uri="{63B3BB69-23CF-44E3-9099-C40C66FF867C}">
                  <a14:compatExt spid="_x0000_s7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</xdr:row>
          <xdr:rowOff>0</xdr:rowOff>
        </xdr:from>
        <xdr:to>
          <xdr:col>5</xdr:col>
          <xdr:colOff>38100</xdr:colOff>
          <xdr:row>8</xdr:row>
          <xdr:rowOff>257175</xdr:rowOff>
        </xdr:to>
        <xdr:sp macro="" textlink="">
          <xdr:nvSpPr>
            <xdr:cNvPr id="74809" name="Drop Down 57" hidden="1">
              <a:extLst>
                <a:ext uri="{63B3BB69-23CF-44E3-9099-C40C66FF867C}">
                  <a14:compatExt spid="_x0000_s7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6</xdr:col>
          <xdr:colOff>28575</xdr:colOff>
          <xdr:row>9</xdr:row>
          <xdr:rowOff>0</xdr:rowOff>
        </xdr:to>
        <xdr:sp macro="" textlink="">
          <xdr:nvSpPr>
            <xdr:cNvPr id="74810" name="Drop Down 58" hidden="1">
              <a:extLst>
                <a:ext uri="{63B3BB69-23CF-44E3-9099-C40C66FF867C}">
                  <a14:compatExt spid="_x0000_s7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28"/>
  <sheetViews>
    <sheetView showGridLines="0" tabSelected="1" showOutlineSymbols="0" workbookViewId="0"/>
  </sheetViews>
  <sheetFormatPr defaultColWidth="9.140625" defaultRowHeight="15" x14ac:dyDescent="0.25"/>
  <cols>
    <col min="1" max="1" width="1.42578125" style="23" customWidth="1"/>
    <col min="2" max="2" width="34.85546875" style="23" customWidth="1"/>
    <col min="3" max="3" width="18.42578125" style="23" customWidth="1"/>
    <col min="4" max="4" width="18.140625" style="23" customWidth="1"/>
    <col min="5" max="5" width="14.7109375" style="23" customWidth="1"/>
    <col min="6" max="6" width="15.28515625" style="23" customWidth="1"/>
    <col min="7" max="7" width="26.5703125" style="23" customWidth="1"/>
    <col min="8" max="8" width="2.42578125" style="23" customWidth="1"/>
    <col min="9" max="9" width="27.42578125" style="23" customWidth="1"/>
    <col min="10" max="10" width="14.7109375" style="23" customWidth="1"/>
    <col min="11" max="11" width="11.42578125" style="23" bestFit="1" customWidth="1"/>
    <col min="12" max="12" width="15.140625" style="23" customWidth="1"/>
    <col min="13" max="13" width="9.140625" style="23" customWidth="1"/>
    <col min="14" max="16384" width="9.140625" style="23"/>
  </cols>
  <sheetData>
    <row r="1" spans="2:12" ht="27.6" customHeight="1" x14ac:dyDescent="0.3">
      <c r="B1" s="27" t="s">
        <v>44</v>
      </c>
      <c r="G1" s="24"/>
      <c r="H1" s="24"/>
    </row>
    <row r="2" spans="2:12" x14ac:dyDescent="0.25">
      <c r="B2" s="28" t="s">
        <v>46</v>
      </c>
      <c r="G2" s="24"/>
      <c r="H2" s="24"/>
      <c r="J2" s="26"/>
      <c r="K2" s="22"/>
      <c r="L2" s="26"/>
    </row>
    <row r="3" spans="2:12" s="302" customFormat="1" ht="18" customHeight="1" x14ac:dyDescent="0.2">
      <c r="B3" s="293" t="s">
        <v>31</v>
      </c>
      <c r="C3" s="294" t="str">
        <f>'Data input'!D1</f>
        <v>Joe Bloggs's cropping farm</v>
      </c>
      <c r="D3" s="295"/>
      <c r="E3" s="295"/>
      <c r="F3" s="295"/>
      <c r="G3" s="296"/>
      <c r="H3" s="297"/>
      <c r="I3" s="298" t="s">
        <v>28</v>
      </c>
      <c r="J3" s="299" t="s">
        <v>275</v>
      </c>
      <c r="K3" s="300" t="s">
        <v>29</v>
      </c>
      <c r="L3" s="301" t="str">
        <f>J3</f>
        <v>t CO2e/farm</v>
      </c>
    </row>
    <row r="4" spans="2:12" s="302" customFormat="1" ht="18" customHeight="1" x14ac:dyDescent="0.2">
      <c r="B4" s="293" t="s">
        <v>158</v>
      </c>
      <c r="C4" s="303" t="str">
        <f>'Electricity &amp; Diesel'!L13</f>
        <v>Vic</v>
      </c>
      <c r="D4" s="303"/>
      <c r="E4" s="303"/>
      <c r="F4" s="303"/>
      <c r="G4" s="304"/>
      <c r="H4" s="297"/>
      <c r="I4" s="305" t="s">
        <v>144</v>
      </c>
      <c r="J4" s="306">
        <f>'Electricity &amp; Diesel'!C57</f>
        <v>10.532419883752679</v>
      </c>
      <c r="K4" s="307" t="s">
        <v>655</v>
      </c>
      <c r="L4" s="338">
        <f>J4:J6</f>
        <v>10.532419883752679</v>
      </c>
    </row>
    <row r="5" spans="2:12" s="302" customFormat="1" ht="18" customHeight="1" x14ac:dyDescent="0.2">
      <c r="B5" s="308" t="s">
        <v>45</v>
      </c>
      <c r="C5" s="309" t="str">
        <f>'Crop Residues'!C3</f>
        <v>Wheat</v>
      </c>
      <c r="D5" s="309" t="str">
        <f>'Crop Residues'!D3</f>
        <v>Barley</v>
      </c>
      <c r="E5" s="309" t="str">
        <f>'Crop Residues'!E3</f>
        <v>Pulses</v>
      </c>
      <c r="F5" s="309" t="str">
        <f>'Crop Residues'!F3</f>
        <v>Oilseeds</v>
      </c>
      <c r="G5" s="310" t="s">
        <v>25</v>
      </c>
      <c r="H5" s="311"/>
      <c r="I5" s="307" t="s">
        <v>276</v>
      </c>
      <c r="J5" s="312">
        <f>Liming!E16</f>
        <v>0.39599999999999996</v>
      </c>
      <c r="K5" s="313" t="s">
        <v>656</v>
      </c>
      <c r="L5" s="338">
        <f>SUM(J7:J8)</f>
        <v>88.713266701999999</v>
      </c>
    </row>
    <row r="6" spans="2:12" s="302" customFormat="1" ht="18" customHeight="1" x14ac:dyDescent="0.2">
      <c r="B6" s="307" t="s">
        <v>200</v>
      </c>
      <c r="C6" s="314" t="str">
        <f>Fertiliser!C9</f>
        <v>Non-Irrigated Crop</v>
      </c>
      <c r="D6" s="314" t="str">
        <f>Fertiliser!D9</f>
        <v>Non-Irrigated Crop</v>
      </c>
      <c r="E6" s="314" t="str">
        <f>Fertiliser!E9</f>
        <v>Irrigated Crop</v>
      </c>
      <c r="F6" s="314" t="str">
        <f>Fertiliser!F9</f>
        <v>Irrigated Crop</v>
      </c>
      <c r="G6" s="315"/>
      <c r="H6" s="311"/>
      <c r="I6" s="307" t="s">
        <v>327</v>
      </c>
      <c r="J6" s="312">
        <f>'Urea Application'!C20</f>
        <v>0</v>
      </c>
      <c r="K6" s="316" t="s">
        <v>657</v>
      </c>
      <c r="L6" s="339">
        <f>SUM(J9:J14)</f>
        <v>1265.6618157988194</v>
      </c>
    </row>
    <row r="7" spans="2:12" s="302" customFormat="1" ht="18" customHeight="1" x14ac:dyDescent="0.2">
      <c r="B7" s="307" t="s">
        <v>50</v>
      </c>
      <c r="C7" s="314">
        <f>'Data input'!C10</f>
        <v>3</v>
      </c>
      <c r="D7" s="314">
        <f>'Data input'!D10</f>
        <v>2.5</v>
      </c>
      <c r="E7" s="314">
        <f>'Data input'!E10</f>
        <v>2</v>
      </c>
      <c r="F7" s="314">
        <f>'Data input'!F10</f>
        <v>3</v>
      </c>
      <c r="G7" s="315" t="str">
        <f>'Data input'!G10</f>
        <v>t/ha</v>
      </c>
      <c r="H7" s="311"/>
      <c r="I7" s="307" t="s">
        <v>308</v>
      </c>
      <c r="J7" s="312">
        <f>'Field burning'!C32</f>
        <v>88.703999999999994</v>
      </c>
      <c r="L7" s="317"/>
    </row>
    <row r="8" spans="2:12" s="302" customFormat="1" ht="18" customHeight="1" x14ac:dyDescent="0.2">
      <c r="B8" s="313" t="s">
        <v>52</v>
      </c>
      <c r="C8" s="314">
        <f>'Data input'!C11</f>
        <v>1000</v>
      </c>
      <c r="D8" s="314">
        <f>'Data input'!D11</f>
        <v>200</v>
      </c>
      <c r="E8" s="314">
        <f>'Data input'!E11</f>
        <v>500</v>
      </c>
      <c r="F8" s="314">
        <f>'Data input'!F11</f>
        <v>800</v>
      </c>
      <c r="G8" s="315" t="str">
        <f>'Data input'!G11</f>
        <v>ha/farm</v>
      </c>
      <c r="H8" s="311"/>
      <c r="I8" s="307" t="s">
        <v>277</v>
      </c>
      <c r="J8" s="312">
        <f>'Electricity &amp; Diesel'!C90</f>
        <v>9.2667019999999999E-3</v>
      </c>
    </row>
    <row r="9" spans="2:12" s="302" customFormat="1" ht="18" customHeight="1" x14ac:dyDescent="0.2">
      <c r="B9" s="313" t="s">
        <v>98</v>
      </c>
      <c r="C9" s="314">
        <f>'Data input'!C12</f>
        <v>60</v>
      </c>
      <c r="D9" s="314">
        <f>'Data input'!D12</f>
        <v>50</v>
      </c>
      <c r="E9" s="314">
        <f>'Data input'!E12</f>
        <v>0</v>
      </c>
      <c r="F9" s="314">
        <f>'Data input'!F12</f>
        <v>80</v>
      </c>
      <c r="G9" s="315" t="str">
        <f>'Data input'!G12</f>
        <v>kg N/ha</v>
      </c>
      <c r="H9" s="311"/>
      <c r="I9" s="307" t="s">
        <v>304</v>
      </c>
      <c r="J9" s="312">
        <f>Fertiliser!C61</f>
        <v>533.3774285714286</v>
      </c>
    </row>
    <row r="10" spans="2:12" s="302" customFormat="1" ht="30" customHeight="1" x14ac:dyDescent="0.2">
      <c r="B10" s="437" t="str">
        <f>'Data input'!B17</f>
        <v>Fraction of the annual production of crop that is burnt (F)</v>
      </c>
      <c r="C10" s="318">
        <f>'Data input'!C17</f>
        <v>1</v>
      </c>
      <c r="D10" s="318">
        <f>'Data input'!D17</f>
        <v>0</v>
      </c>
      <c r="E10" s="318">
        <f>'Data input'!E17</f>
        <v>0</v>
      </c>
      <c r="F10" s="318">
        <f>'Data input'!F17</f>
        <v>0</v>
      </c>
      <c r="G10" s="310"/>
      <c r="H10" s="311"/>
      <c r="I10" s="307" t="s">
        <v>328</v>
      </c>
      <c r="J10" s="312">
        <f>'Crop Residues'!C37</f>
        <v>458.93094311428575</v>
      </c>
    </row>
    <row r="11" spans="2:12" s="302" customFormat="1" ht="18" customHeight="1" x14ac:dyDescent="0.2">
      <c r="B11" s="307" t="s">
        <v>309</v>
      </c>
      <c r="C11" s="319">
        <f>'Crop Residues'!C7</f>
        <v>1.5</v>
      </c>
      <c r="D11" s="319">
        <f>'Crop Residues'!D7</f>
        <v>1.24</v>
      </c>
      <c r="E11" s="319">
        <f>'Crop Residues'!E7</f>
        <v>1.37</v>
      </c>
      <c r="F11" s="319">
        <f>'Crop Residues'!F7</f>
        <v>2.1</v>
      </c>
      <c r="G11" s="319" t="str">
        <f>'Crop Residues'!G7</f>
        <v>(kg crop residue/kg crop)</v>
      </c>
      <c r="H11" s="311"/>
      <c r="I11" s="307" t="s">
        <v>305</v>
      </c>
      <c r="J11" s="312">
        <f>'Atmospheric deposition'!C29</f>
        <v>53.337742857142864</v>
      </c>
    </row>
    <row r="12" spans="2:12" s="302" customFormat="1" ht="18" customHeight="1" x14ac:dyDescent="0.2">
      <c r="B12" s="307" t="s">
        <v>310</v>
      </c>
      <c r="C12" s="319">
        <f>'Crop Residues'!C8</f>
        <v>0.28999999999999998</v>
      </c>
      <c r="D12" s="319">
        <f>'Crop Residues'!D8</f>
        <v>0.32</v>
      </c>
      <c r="E12" s="319">
        <f>'Crop Residues'!E8</f>
        <v>0.51</v>
      </c>
      <c r="F12" s="319">
        <f>'Crop Residues'!F8</f>
        <v>0.33</v>
      </c>
      <c r="G12" s="319" t="str">
        <f>'Crop Residues'!G8</f>
        <v>(kg /kg)</v>
      </c>
      <c r="H12" s="311"/>
      <c r="I12" s="307" t="s">
        <v>306</v>
      </c>
      <c r="J12" s="312">
        <f>'Leaching and runoff'!C31</f>
        <v>179.40781050339083</v>
      </c>
      <c r="K12" s="317"/>
      <c r="L12" s="317"/>
    </row>
    <row r="13" spans="2:12" s="302" customFormat="1" ht="18" customHeight="1" x14ac:dyDescent="0.2">
      <c r="B13" s="307" t="s">
        <v>311</v>
      </c>
      <c r="C13" s="319">
        <f>'Crop Residues'!C9</f>
        <v>0.88</v>
      </c>
      <c r="D13" s="319">
        <f>'Crop Residues'!D9</f>
        <v>0.88</v>
      </c>
      <c r="E13" s="319">
        <f>'Crop Residues'!E9</f>
        <v>0.87</v>
      </c>
      <c r="F13" s="319">
        <f>'Crop Residues'!F9</f>
        <v>0.96</v>
      </c>
      <c r="G13" s="319" t="str">
        <f>'Crop Residues'!G9</f>
        <v>(kg dry weight/kg crop residue)</v>
      </c>
      <c r="H13" s="311"/>
      <c r="I13" s="307" t="s">
        <v>307</v>
      </c>
      <c r="J13" s="312">
        <f>'Field burning'!C41</f>
        <v>40.589357348571419</v>
      </c>
      <c r="K13" s="317"/>
      <c r="L13" s="317"/>
    </row>
    <row r="14" spans="2:12" s="302" customFormat="1" ht="18" customHeight="1" x14ac:dyDescent="0.2">
      <c r="B14" s="307" t="s">
        <v>312</v>
      </c>
      <c r="C14" s="319">
        <f>'Crop Residues'!C10</f>
        <v>6.0000000000000001E-3</v>
      </c>
      <c r="D14" s="319">
        <f>'Crop Residues'!D10</f>
        <v>7.0000000000000001E-3</v>
      </c>
      <c r="E14" s="319">
        <f>'Crop Residues'!E10</f>
        <v>8.9999999999999993E-3</v>
      </c>
      <c r="F14" s="319">
        <f>'Crop Residues'!F10</f>
        <v>8.9999999999999993E-3</v>
      </c>
      <c r="G14" s="319" t="str">
        <f>'Crop Residues'!G10</f>
        <v>(kg N/kg DM)</v>
      </c>
      <c r="H14" s="311"/>
      <c r="I14" s="307" t="s">
        <v>278</v>
      </c>
      <c r="J14" s="312">
        <f>'Electricity &amp; Diesel'!C91</f>
        <v>1.8533404E-2</v>
      </c>
    </row>
    <row r="15" spans="2:12" s="302" customFormat="1" ht="18" customHeight="1" x14ac:dyDescent="0.2">
      <c r="B15" s="307" t="s">
        <v>313</v>
      </c>
      <c r="C15" s="319">
        <f>'Crop Residues'!C11</f>
        <v>0.01</v>
      </c>
      <c r="D15" s="319">
        <f>'Crop Residues'!D11</f>
        <v>0.01</v>
      </c>
      <c r="E15" s="319">
        <f>'Crop Residues'!E11</f>
        <v>0.01</v>
      </c>
      <c r="F15" s="319">
        <f>'Crop Residues'!F11</f>
        <v>0.01</v>
      </c>
      <c r="G15" s="319" t="str">
        <f>'Crop Residues'!G11</f>
        <v>(kg N/kg DM)</v>
      </c>
      <c r="H15" s="311"/>
      <c r="I15" s="293" t="s">
        <v>30</v>
      </c>
      <c r="J15" s="337">
        <f>SUM(J4:J14)</f>
        <v>1365.3035023845721</v>
      </c>
      <c r="K15" s="317"/>
      <c r="L15" s="317"/>
    </row>
    <row r="16" spans="2:12" s="302" customFormat="1" ht="18" customHeight="1" x14ac:dyDescent="0.2">
      <c r="B16" s="307" t="s">
        <v>314</v>
      </c>
      <c r="C16" s="319">
        <f>'Crop Residues'!C12</f>
        <v>0.21</v>
      </c>
      <c r="D16" s="319">
        <f>'Crop Residues'!D12</f>
        <v>0.21</v>
      </c>
      <c r="E16" s="319">
        <f>'Crop Residues'!E12</f>
        <v>0.21</v>
      </c>
      <c r="F16" s="319">
        <f>'Crop Residues'!F12</f>
        <v>0.21</v>
      </c>
      <c r="G16" s="319" t="str">
        <f>'Crop Residues'!G12</f>
        <v>Fraction</v>
      </c>
      <c r="H16" s="311"/>
      <c r="I16" s="317"/>
      <c r="J16" s="317"/>
      <c r="K16" s="317"/>
      <c r="L16" s="317"/>
    </row>
    <row r="17" spans="2:12" s="302" customFormat="1" ht="18" customHeight="1" x14ac:dyDescent="0.2">
      <c r="B17" s="307" t="s">
        <v>315</v>
      </c>
      <c r="C17" s="319">
        <f>'Crop Residues'!C14</f>
        <v>0.5</v>
      </c>
      <c r="D17" s="319">
        <f>'Crop Residues'!D14</f>
        <v>0.5</v>
      </c>
      <c r="E17" s="319">
        <f>'Crop Residues'!E14</f>
        <v>0.5</v>
      </c>
      <c r="F17" s="319">
        <f>'Crop Residues'!F14</f>
        <v>0.5</v>
      </c>
      <c r="G17" s="319" t="str">
        <f>'Crop Residues'!G14</f>
        <v>Fraction</v>
      </c>
      <c r="H17" s="311"/>
      <c r="I17" s="317"/>
      <c r="J17" s="317"/>
      <c r="K17" s="317"/>
      <c r="L17" s="317"/>
    </row>
    <row r="18" spans="2:12" s="302" customFormat="1" ht="18" customHeight="1" x14ac:dyDescent="0.2">
      <c r="B18" s="307" t="s">
        <v>316</v>
      </c>
      <c r="C18" s="319">
        <f>'Crop Residues'!C13</f>
        <v>7.0000000000000007E-2</v>
      </c>
      <c r="D18" s="319">
        <f>'Crop Residues'!D13</f>
        <v>7.0000000000000007E-2</v>
      </c>
      <c r="E18" s="319">
        <f>'Crop Residues'!E13</f>
        <v>7.0000000000000007E-2</v>
      </c>
      <c r="F18" s="319">
        <f>'Crop Residues'!F13</f>
        <v>7.0000000000000007E-2</v>
      </c>
      <c r="G18" s="319" t="str">
        <f>'Crop Residues'!G13</f>
        <v>Fraction</v>
      </c>
      <c r="H18" s="317"/>
      <c r="I18" s="317"/>
      <c r="J18" s="317"/>
      <c r="K18" s="317"/>
      <c r="L18" s="317"/>
    </row>
    <row r="19" spans="2:12" s="302" customFormat="1" ht="18" customHeight="1" x14ac:dyDescent="0.2">
      <c r="B19" s="307" t="s">
        <v>317</v>
      </c>
      <c r="C19" s="319">
        <f>'Crop Residues'!C15</f>
        <v>0.4</v>
      </c>
      <c r="D19" s="319">
        <f>'Crop Residues'!D15</f>
        <v>0.4</v>
      </c>
      <c r="E19" s="319">
        <f>'Crop Residues'!E15</f>
        <v>0.4</v>
      </c>
      <c r="F19" s="319">
        <f>'Crop Residues'!F15</f>
        <v>0.4</v>
      </c>
      <c r="G19" s="319" t="str">
        <f>'Crop Residues'!G15</f>
        <v>Fraction</v>
      </c>
      <c r="I19" s="320"/>
      <c r="J19" s="320"/>
    </row>
    <row r="20" spans="2:12" s="302" customFormat="1" ht="18" customHeight="1" x14ac:dyDescent="0.2">
      <c r="B20" s="305" t="s">
        <v>156</v>
      </c>
      <c r="C20" s="321">
        <f>'Data input'!C18</f>
        <v>2400.6999999999998</v>
      </c>
      <c r="D20" s="321"/>
      <c r="E20" s="321"/>
      <c r="F20" s="321"/>
      <c r="G20" s="322" t="str">
        <f>'Data input'!G18</f>
        <v>litres/year</v>
      </c>
      <c r="H20" s="317"/>
      <c r="K20" s="317"/>
      <c r="L20" s="317"/>
    </row>
    <row r="21" spans="2:12" s="302" customFormat="1" ht="18" customHeight="1" x14ac:dyDescent="0.2">
      <c r="B21" s="307" t="s">
        <v>318</v>
      </c>
      <c r="C21" s="323">
        <f>'Data input'!C19</f>
        <v>0</v>
      </c>
      <c r="D21" s="323"/>
      <c r="E21" s="323"/>
      <c r="F21" s="323"/>
      <c r="G21" s="324" t="s">
        <v>141</v>
      </c>
      <c r="H21" s="320"/>
      <c r="K21" s="320"/>
      <c r="L21" s="320"/>
    </row>
    <row r="22" spans="2:12" s="302" customFormat="1" ht="18" customHeight="1" x14ac:dyDescent="0.2">
      <c r="B22" s="308" t="s">
        <v>157</v>
      </c>
      <c r="C22" s="318">
        <f>'Data input'!C20</f>
        <v>4000</v>
      </c>
      <c r="D22" s="318"/>
      <c r="E22" s="318"/>
      <c r="F22" s="318"/>
      <c r="G22" s="310" t="s">
        <v>142</v>
      </c>
    </row>
    <row r="23" spans="2:12" s="302" customFormat="1" ht="18" customHeight="1" x14ac:dyDescent="0.2">
      <c r="B23" s="293" t="s">
        <v>152</v>
      </c>
      <c r="C23" s="325" t="str">
        <f>'Electricity &amp; Diesel'!D36</f>
        <v>State Grid</v>
      </c>
      <c r="D23" s="325"/>
      <c r="E23" s="325"/>
      <c r="F23" s="326"/>
      <c r="G23" s="327"/>
    </row>
    <row r="24" spans="2:12" x14ac:dyDescent="0.25">
      <c r="B24" s="25"/>
      <c r="E24" s="25"/>
      <c r="F24" s="25"/>
    </row>
    <row r="27" spans="2:12" x14ac:dyDescent="0.25">
      <c r="D27" s="26"/>
    </row>
    <row r="28" spans="2:12" x14ac:dyDescent="0.25">
      <c r="D28" s="26"/>
    </row>
  </sheetData>
  <sheetProtection sheet="1" objects="1" scenarios="1"/>
  <phoneticPr fontId="6" type="noConversion"/>
  <dataValidations disablePrompts="1" count="1">
    <dataValidation type="list" allowBlank="1" showInputMessage="1" showErrorMessage="1" promptTitle="Select crop4" sqref="H5">
      <formula1>Crops</formula1>
    </dataValidation>
  </dataValidations>
  <pageMargins left="0.75" right="0.75" top="1" bottom="1" header="0.5" footer="0.5"/>
  <pageSetup paperSize="9" scale="79" orientation="portrait" r:id="rId1"/>
  <headerFooter>
    <oddFooter>&amp;RRobin Nosey_x000D_Agriculture Western Australia_x000D_&amp;D</oddFooter>
  </headerFooter>
  <ignoredErrors>
    <ignoredError sqref="C3:G4 C7:G10 G5 F6:G6 C5:F5 C6:E6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25" zoomScaleNormal="125" zoomScalePageLayoutView="125" workbookViewId="0"/>
  </sheetViews>
  <sheetFormatPr defaultColWidth="10.85546875" defaultRowHeight="12" x14ac:dyDescent="0.2"/>
  <cols>
    <col min="1" max="1" width="2" style="410" customWidth="1"/>
    <col min="2" max="4" width="10.85546875" style="410"/>
    <col min="5" max="8" width="18.85546875" style="410" customWidth="1"/>
    <col min="9" max="9" width="10.85546875" style="410"/>
    <col min="10" max="10" width="20.7109375" style="410" customWidth="1"/>
    <col min="11" max="11" width="21.28515625" style="410" customWidth="1"/>
    <col min="12" max="12" width="19.7109375" style="410" customWidth="1"/>
    <col min="13" max="16384" width="10.85546875" style="410"/>
  </cols>
  <sheetData>
    <row r="1" spans="1:12" ht="18.75" x14ac:dyDescent="0.3">
      <c r="A1" s="408" t="s">
        <v>279</v>
      </c>
      <c r="B1" s="408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2" ht="15.75" x14ac:dyDescent="0.25">
      <c r="A2" s="420"/>
      <c r="B2" s="421" t="s">
        <v>132</v>
      </c>
      <c r="C2" s="421"/>
      <c r="D2" s="421" t="s">
        <v>280</v>
      </c>
      <c r="E2" s="421"/>
      <c r="F2" s="421"/>
      <c r="G2" s="421"/>
      <c r="H2" s="421"/>
      <c r="I2" s="422" t="s">
        <v>25</v>
      </c>
      <c r="J2" s="432" t="s">
        <v>148</v>
      </c>
      <c r="K2" s="432" t="s">
        <v>163</v>
      </c>
      <c r="L2" s="432" t="s">
        <v>178</v>
      </c>
    </row>
    <row r="3" spans="1:12" ht="15.75" x14ac:dyDescent="0.25">
      <c r="A3" s="420"/>
      <c r="B3" s="423"/>
      <c r="C3" s="423"/>
      <c r="D3" s="423"/>
      <c r="E3" s="423"/>
      <c r="F3" s="423"/>
      <c r="G3" s="423"/>
      <c r="H3" s="423"/>
      <c r="I3" s="423"/>
      <c r="J3" s="433"/>
      <c r="K3" s="433"/>
      <c r="L3" s="433"/>
    </row>
    <row r="4" spans="1:12" ht="15.75" x14ac:dyDescent="0.25">
      <c r="A4" s="420"/>
      <c r="B4" s="423"/>
      <c r="C4" s="423"/>
      <c r="D4" s="423"/>
      <c r="E4" s="424" t="str">
        <f>'Crop Residues'!C3</f>
        <v>Wheat</v>
      </c>
      <c r="F4" s="424" t="str">
        <f>'Crop Residues'!D3</f>
        <v>Barley</v>
      </c>
      <c r="G4" s="424" t="str">
        <f>'Crop Residues'!E3</f>
        <v>Pulses</v>
      </c>
      <c r="H4" s="424" t="str">
        <f>'Crop Residues'!F3</f>
        <v>Oilseeds</v>
      </c>
      <c r="I4" s="423"/>
      <c r="J4" s="433"/>
      <c r="K4" s="433"/>
      <c r="L4" s="433"/>
    </row>
    <row r="5" spans="1:12" ht="15.75" x14ac:dyDescent="0.25">
      <c r="A5" s="420"/>
      <c r="B5" s="423" t="s">
        <v>281</v>
      </c>
      <c r="C5" s="423"/>
      <c r="D5" s="423"/>
      <c r="E5" s="425">
        <f>'Data input'!C15/1000</f>
        <v>0.5</v>
      </c>
      <c r="F5" s="425">
        <f>'Data input'!D15/1000</f>
        <v>0</v>
      </c>
      <c r="G5" s="425">
        <f>'Data input'!E15/1000</f>
        <v>0.5</v>
      </c>
      <c r="H5" s="425">
        <f>'Data input'!F15/1000</f>
        <v>0</v>
      </c>
      <c r="I5" s="426" t="s">
        <v>282</v>
      </c>
      <c r="J5" s="433"/>
      <c r="K5" s="433"/>
      <c r="L5" s="433"/>
    </row>
    <row r="6" spans="1:12" ht="15.75" x14ac:dyDescent="0.25">
      <c r="A6" s="420"/>
      <c r="B6" s="423" t="s">
        <v>283</v>
      </c>
      <c r="C6" s="423"/>
      <c r="D6" s="423"/>
      <c r="E6" s="425">
        <f>'Data input'!C16</f>
        <v>1</v>
      </c>
      <c r="F6" s="425">
        <f>'Data input'!D16</f>
        <v>0</v>
      </c>
      <c r="G6" s="425">
        <f>'Data input'!E16</f>
        <v>1</v>
      </c>
      <c r="H6" s="425">
        <f>'Data input'!F16</f>
        <v>0</v>
      </c>
      <c r="I6" s="426"/>
      <c r="J6" s="433"/>
      <c r="K6" s="433"/>
      <c r="L6" s="433"/>
    </row>
    <row r="7" spans="1:12" ht="15.75" x14ac:dyDescent="0.25">
      <c r="A7" s="420"/>
      <c r="B7" s="423" t="s">
        <v>284</v>
      </c>
      <c r="C7" s="423"/>
      <c r="D7" s="423"/>
      <c r="E7" s="425">
        <v>0.9</v>
      </c>
      <c r="F7" s="425"/>
      <c r="G7" s="425"/>
      <c r="H7" s="425"/>
      <c r="I7" s="426"/>
      <c r="J7" s="433"/>
      <c r="K7" s="433"/>
      <c r="L7" s="433"/>
    </row>
    <row r="8" spans="1:12" ht="15.75" x14ac:dyDescent="0.25">
      <c r="A8" s="420"/>
      <c r="B8" s="423" t="s">
        <v>285</v>
      </c>
      <c r="C8" s="423"/>
      <c r="D8" s="423"/>
      <c r="E8" s="425">
        <v>0.95</v>
      </c>
      <c r="F8" s="425"/>
      <c r="G8" s="425"/>
      <c r="H8" s="425"/>
      <c r="I8" s="426"/>
      <c r="J8" s="433"/>
      <c r="K8" s="433"/>
      <c r="L8" s="433"/>
    </row>
    <row r="9" spans="1:12" ht="15.75" x14ac:dyDescent="0.25">
      <c r="A9" s="420"/>
      <c r="B9" s="423" t="s">
        <v>286</v>
      </c>
      <c r="C9" s="423"/>
      <c r="D9" s="423"/>
      <c r="E9" s="425">
        <v>0.12</v>
      </c>
      <c r="F9" s="425"/>
      <c r="G9" s="425"/>
      <c r="H9" s="425"/>
      <c r="I9" s="426"/>
      <c r="J9" s="433"/>
      <c r="K9" s="433"/>
      <c r="L9" s="433"/>
    </row>
    <row r="10" spans="1:12" ht="15.75" x14ac:dyDescent="0.25">
      <c r="A10" s="420"/>
      <c r="B10" s="423" t="s">
        <v>287</v>
      </c>
      <c r="C10" s="423"/>
      <c r="D10" s="423"/>
      <c r="E10" s="425">
        <v>0.13</v>
      </c>
      <c r="F10" s="425"/>
      <c r="G10" s="425"/>
      <c r="H10" s="425"/>
      <c r="I10" s="426"/>
      <c r="J10" s="433"/>
      <c r="K10" s="433"/>
      <c r="L10" s="433"/>
    </row>
    <row r="11" spans="1:12" ht="15.75" x14ac:dyDescent="0.25">
      <c r="A11" s="420"/>
      <c r="B11" s="423" t="s">
        <v>43</v>
      </c>
      <c r="C11" s="423"/>
      <c r="D11" s="423"/>
      <c r="E11" s="427">
        <f>'GWP Factors'!C13</f>
        <v>3.6666666666666665</v>
      </c>
      <c r="F11" s="425"/>
      <c r="G11" s="425"/>
      <c r="H11" s="425"/>
      <c r="I11" s="426"/>
      <c r="J11" s="433"/>
      <c r="K11" s="433"/>
      <c r="L11" s="433"/>
    </row>
    <row r="12" spans="1:12" ht="15.75" x14ac:dyDescent="0.25">
      <c r="A12" s="420"/>
      <c r="B12" s="423"/>
      <c r="C12" s="423"/>
      <c r="D12" s="423"/>
      <c r="E12" s="423"/>
      <c r="F12" s="423"/>
      <c r="G12" s="423"/>
      <c r="H12" s="423"/>
      <c r="I12" s="426"/>
      <c r="J12" s="433"/>
      <c r="K12" s="433"/>
      <c r="L12" s="433"/>
    </row>
    <row r="13" spans="1:12" ht="15.75" x14ac:dyDescent="0.25">
      <c r="A13" s="420"/>
      <c r="B13" s="423" t="s">
        <v>288</v>
      </c>
      <c r="C13" s="423"/>
      <c r="D13" s="423"/>
      <c r="E13" s="423"/>
      <c r="F13" s="423"/>
      <c r="G13" s="423"/>
      <c r="H13" s="423"/>
      <c r="I13" s="426"/>
      <c r="J13" s="434" t="s">
        <v>370</v>
      </c>
      <c r="K13" s="435" t="s">
        <v>289</v>
      </c>
      <c r="L13" s="435" t="s">
        <v>337</v>
      </c>
    </row>
    <row r="14" spans="1:12" ht="15.75" x14ac:dyDescent="0.25">
      <c r="A14" s="420"/>
      <c r="B14" s="423"/>
      <c r="C14" s="423"/>
      <c r="D14" s="423"/>
      <c r="E14" s="423"/>
      <c r="F14" s="423"/>
      <c r="G14" s="423"/>
      <c r="H14" s="423"/>
      <c r="I14" s="426"/>
      <c r="J14" s="433"/>
      <c r="K14" s="433"/>
      <c r="L14" s="433"/>
    </row>
    <row r="15" spans="1:12" ht="15.75" x14ac:dyDescent="0.25">
      <c r="A15" s="420"/>
      <c r="B15" s="423" t="s">
        <v>290</v>
      </c>
      <c r="C15" s="423"/>
      <c r="D15" s="423"/>
      <c r="E15" s="428">
        <f>(((SUM(E5:H5)*E6*E7*E9)+((SUM(E5:H5))*(1-E6)*E8*E10)))*(E11/1000)</f>
        <v>3.9599999999999998E-4</v>
      </c>
      <c r="F15" s="423"/>
      <c r="G15" s="423"/>
      <c r="H15" s="423"/>
      <c r="I15" s="426" t="s">
        <v>32</v>
      </c>
      <c r="J15" s="433"/>
      <c r="K15" s="433"/>
      <c r="L15" s="433"/>
    </row>
    <row r="16" spans="1:12" ht="15.75" x14ac:dyDescent="0.25">
      <c r="A16" s="420"/>
      <c r="B16" s="429" t="s">
        <v>290</v>
      </c>
      <c r="C16" s="429"/>
      <c r="D16" s="429"/>
      <c r="E16" s="430">
        <f>E15*10^3</f>
        <v>0.39599999999999996</v>
      </c>
      <c r="F16" s="429"/>
      <c r="G16" s="429"/>
      <c r="H16" s="429"/>
      <c r="I16" s="431" t="s">
        <v>291</v>
      </c>
      <c r="J16" s="436"/>
      <c r="K16" s="436"/>
      <c r="L16" s="436"/>
    </row>
    <row r="17" spans="1:12" ht="12.75" x14ac:dyDescent="0.2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</row>
    <row r="18" spans="1:12" ht="12.75" x14ac:dyDescent="0.2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</row>
    <row r="19" spans="1:12" ht="12.75" x14ac:dyDescent="0.2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</row>
    <row r="20" spans="1:12" ht="12.75" x14ac:dyDescent="0.2">
      <c r="A20" s="420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7"/>
  <sheetViews>
    <sheetView showGridLines="0" zoomScale="80" zoomScaleNormal="80" zoomScalePageLayoutView="80" workbookViewId="0"/>
  </sheetViews>
  <sheetFormatPr defaultColWidth="9" defaultRowHeight="15.75" x14ac:dyDescent="0.25"/>
  <cols>
    <col min="1" max="1" width="3" style="17" customWidth="1"/>
    <col min="2" max="2" width="41" style="17" customWidth="1"/>
    <col min="3" max="3" width="26.42578125" style="17" customWidth="1"/>
    <col min="4" max="4" width="20.85546875" style="17" customWidth="1"/>
    <col min="5" max="5" width="14.42578125" style="17" customWidth="1"/>
    <col min="6" max="6" width="10.42578125" style="17" customWidth="1"/>
    <col min="7" max="7" width="10.28515625" style="17" customWidth="1"/>
    <col min="8" max="8" width="23" style="17" customWidth="1"/>
    <col min="9" max="9" width="35.7109375" style="17" customWidth="1"/>
    <col min="10" max="10" width="9" style="17"/>
    <col min="11" max="11" width="21.42578125" style="17" customWidth="1"/>
    <col min="12" max="12" width="18.42578125" style="17" customWidth="1"/>
    <col min="13" max="13" width="15" style="17" customWidth="1"/>
    <col min="14" max="14" width="17.42578125" style="17" customWidth="1"/>
    <col min="15" max="15" width="19.42578125" style="17" customWidth="1"/>
    <col min="16" max="16" width="14.7109375" style="17" customWidth="1"/>
    <col min="17" max="21" width="9" style="17"/>
    <col min="22" max="22" width="25.85546875" style="17" customWidth="1"/>
    <col min="23" max="29" width="14.140625" style="17" customWidth="1"/>
    <col min="30" max="30" width="13.140625" style="17" customWidth="1"/>
    <col min="31" max="16384" width="9" style="17"/>
  </cols>
  <sheetData>
    <row r="1" spans="1:30" ht="18.75" x14ac:dyDescent="0.3">
      <c r="B1" s="44" t="s">
        <v>131</v>
      </c>
    </row>
    <row r="2" spans="1:30" ht="18.75" x14ac:dyDescent="0.3">
      <c r="A2" s="156"/>
      <c r="B2" s="44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30" ht="18.75" x14ac:dyDescent="0.3">
      <c r="B3" s="224" t="s">
        <v>244</v>
      </c>
      <c r="C3" s="225"/>
      <c r="D3" s="225"/>
      <c r="E3" s="225"/>
      <c r="F3" s="225"/>
      <c r="G3" s="225"/>
      <c r="H3" s="225"/>
      <c r="I3" s="226"/>
      <c r="J3" s="19"/>
      <c r="K3" s="142" t="s">
        <v>158</v>
      </c>
      <c r="L3" s="143"/>
      <c r="M3" s="217"/>
      <c r="N3" s="217"/>
      <c r="O3" s="217"/>
      <c r="P3" s="143"/>
      <c r="Q3" s="217"/>
      <c r="R3" s="217"/>
      <c r="S3" s="217"/>
      <c r="T3" s="218"/>
      <c r="V3" s="388" t="s">
        <v>650</v>
      </c>
      <c r="W3" s="389"/>
      <c r="X3" s="389"/>
      <c r="Y3" s="389"/>
      <c r="Z3" s="389"/>
      <c r="AA3" s="389"/>
      <c r="AB3" s="389"/>
      <c r="AC3" s="389"/>
      <c r="AD3" s="390"/>
    </row>
    <row r="4" spans="1:30" x14ac:dyDescent="0.25">
      <c r="B4" s="46" t="s">
        <v>132</v>
      </c>
      <c r="C4" s="45"/>
      <c r="D4" s="45"/>
      <c r="E4" s="45"/>
      <c r="F4" s="403" t="s">
        <v>25</v>
      </c>
      <c r="G4" s="45"/>
      <c r="H4" s="45"/>
      <c r="I4" s="150" t="s">
        <v>245</v>
      </c>
      <c r="J4" s="19"/>
      <c r="K4" s="139">
        <v>1</v>
      </c>
      <c r="L4" s="19" t="s">
        <v>216</v>
      </c>
      <c r="T4" s="220"/>
      <c r="V4" s="391"/>
      <c r="W4" s="387" t="s">
        <v>384</v>
      </c>
      <c r="X4" s="387" t="s">
        <v>215</v>
      </c>
      <c r="Y4" s="387" t="s">
        <v>385</v>
      </c>
      <c r="Z4" s="387" t="s">
        <v>198</v>
      </c>
      <c r="AA4" s="387" t="s">
        <v>212</v>
      </c>
      <c r="AB4" s="387" t="s">
        <v>213</v>
      </c>
      <c r="AC4" s="387" t="s">
        <v>611</v>
      </c>
      <c r="AD4" s="392" t="s">
        <v>11</v>
      </c>
    </row>
    <row r="5" spans="1:30" x14ac:dyDescent="0.25">
      <c r="B5" s="45" t="s">
        <v>156</v>
      </c>
      <c r="C5" s="152">
        <f>'Data input'!C18*10^-3</f>
        <v>2.4007000000000001</v>
      </c>
      <c r="D5" s="45"/>
      <c r="E5" s="45"/>
      <c r="F5" s="401" t="s">
        <v>411</v>
      </c>
      <c r="G5" s="45"/>
      <c r="H5" s="45"/>
      <c r="I5" s="405" t="s">
        <v>398</v>
      </c>
      <c r="J5" s="19"/>
      <c r="K5" s="139">
        <v>2</v>
      </c>
      <c r="L5" s="17" t="s">
        <v>211</v>
      </c>
      <c r="T5" s="220"/>
      <c r="V5" s="391" t="s">
        <v>612</v>
      </c>
      <c r="W5" s="387">
        <v>11797</v>
      </c>
      <c r="X5" s="387">
        <v>0</v>
      </c>
      <c r="Y5" s="387">
        <v>1745</v>
      </c>
      <c r="Z5" s="387">
        <v>0</v>
      </c>
      <c r="AA5" s="387">
        <v>0</v>
      </c>
      <c r="AB5" s="387">
        <v>8805</v>
      </c>
      <c r="AC5" s="387">
        <v>0</v>
      </c>
      <c r="AD5" s="397">
        <f t="shared" ref="AD5:AD15" si="0">SUM(W5:AC5)</f>
        <v>22347</v>
      </c>
    </row>
    <row r="6" spans="1:30" x14ac:dyDescent="0.25">
      <c r="B6" s="45" t="s">
        <v>409</v>
      </c>
      <c r="C6" s="153">
        <v>38.6</v>
      </c>
      <c r="D6" s="45"/>
      <c r="E6" s="45"/>
      <c r="F6" s="401" t="s">
        <v>641</v>
      </c>
      <c r="G6" s="45"/>
      <c r="H6" s="45"/>
      <c r="I6" s="150" t="s">
        <v>398</v>
      </c>
      <c r="J6" s="19"/>
      <c r="K6" s="139">
        <v>3</v>
      </c>
      <c r="L6" s="19" t="s">
        <v>215</v>
      </c>
      <c r="T6" s="220"/>
      <c r="V6" s="391" t="s">
        <v>613</v>
      </c>
      <c r="W6" s="387">
        <v>0</v>
      </c>
      <c r="X6" s="387">
        <v>0</v>
      </c>
      <c r="Y6" s="387">
        <v>0</v>
      </c>
      <c r="Z6" s="387">
        <v>780</v>
      </c>
      <c r="AA6" s="387">
        <v>6555</v>
      </c>
      <c r="AB6" s="387">
        <v>0</v>
      </c>
      <c r="AC6" s="387">
        <v>0</v>
      </c>
      <c r="AD6" s="397">
        <f t="shared" si="0"/>
        <v>7335</v>
      </c>
    </row>
    <row r="7" spans="1:30" x14ac:dyDescent="0.25">
      <c r="B7" s="45" t="s">
        <v>410</v>
      </c>
      <c r="C7" s="365">
        <v>69.900000000000006</v>
      </c>
      <c r="D7" s="45"/>
      <c r="E7" s="45"/>
      <c r="F7" s="401" t="s">
        <v>642</v>
      </c>
      <c r="G7" s="45"/>
      <c r="H7" s="45"/>
      <c r="I7" s="151"/>
      <c r="J7" s="19"/>
      <c r="K7" s="139">
        <v>4</v>
      </c>
      <c r="L7" s="19" t="s">
        <v>385</v>
      </c>
      <c r="T7" s="220"/>
      <c r="V7" s="391" t="s">
        <v>614</v>
      </c>
      <c r="W7" s="387">
        <v>0</v>
      </c>
      <c r="X7" s="387">
        <v>0</v>
      </c>
      <c r="Y7" s="387">
        <v>268</v>
      </c>
      <c r="Z7" s="387">
        <v>1280</v>
      </c>
      <c r="AA7" s="387">
        <v>510</v>
      </c>
      <c r="AB7" s="387">
        <v>132</v>
      </c>
      <c r="AC7" s="387">
        <v>0</v>
      </c>
      <c r="AD7" s="397">
        <f t="shared" si="0"/>
        <v>2190</v>
      </c>
    </row>
    <row r="8" spans="1:30" x14ac:dyDescent="0.25">
      <c r="B8" s="45"/>
      <c r="C8" s="45"/>
      <c r="D8" s="45"/>
      <c r="E8" s="45"/>
      <c r="F8" s="45"/>
      <c r="G8" s="45"/>
      <c r="H8" s="45"/>
      <c r="I8" s="150"/>
      <c r="J8" s="19"/>
      <c r="K8" s="139">
        <v>5</v>
      </c>
      <c r="L8" s="19" t="s">
        <v>198</v>
      </c>
      <c r="T8" s="220"/>
      <c r="V8" s="391" t="s">
        <v>615</v>
      </c>
      <c r="W8" s="387">
        <v>0</v>
      </c>
      <c r="X8" s="387">
        <v>0</v>
      </c>
      <c r="Y8" s="387">
        <v>640</v>
      </c>
      <c r="Z8" s="387">
        <v>0</v>
      </c>
      <c r="AA8" s="387">
        <v>0</v>
      </c>
      <c r="AB8" s="387">
        <v>0</v>
      </c>
      <c r="AC8" s="387">
        <v>0</v>
      </c>
      <c r="AD8" s="397">
        <f t="shared" si="0"/>
        <v>640</v>
      </c>
    </row>
    <row r="9" spans="1:30" x14ac:dyDescent="0.25">
      <c r="B9" s="46" t="s">
        <v>134</v>
      </c>
      <c r="C9" s="46" t="s">
        <v>400</v>
      </c>
      <c r="D9" s="45"/>
      <c r="E9" s="45"/>
      <c r="F9" s="45"/>
      <c r="G9" s="45"/>
      <c r="H9" s="45"/>
      <c r="I9" s="150"/>
      <c r="J9" s="19"/>
      <c r="K9" s="139">
        <v>6</v>
      </c>
      <c r="L9" s="19" t="s">
        <v>212</v>
      </c>
      <c r="T9" s="220"/>
      <c r="V9" s="391" t="s">
        <v>616</v>
      </c>
      <c r="W9" s="387">
        <v>0</v>
      </c>
      <c r="X9" s="387">
        <v>0</v>
      </c>
      <c r="Y9" s="387">
        <v>0</v>
      </c>
      <c r="Z9" s="387">
        <v>50</v>
      </c>
      <c r="AA9" s="387">
        <v>0</v>
      </c>
      <c r="AB9" s="387">
        <v>0</v>
      </c>
      <c r="AC9" s="387">
        <v>77</v>
      </c>
      <c r="AD9" s="397">
        <f t="shared" si="0"/>
        <v>127</v>
      </c>
    </row>
    <row r="10" spans="1:30" x14ac:dyDescent="0.25">
      <c r="B10" s="46"/>
      <c r="C10" s="45" t="s">
        <v>401</v>
      </c>
      <c r="D10" s="45"/>
      <c r="E10" s="45"/>
      <c r="F10" s="406" t="s">
        <v>402</v>
      </c>
      <c r="G10" s="45"/>
      <c r="H10" s="45"/>
      <c r="I10" s="148"/>
      <c r="J10" s="19"/>
      <c r="K10" s="139">
        <v>7</v>
      </c>
      <c r="L10" s="19" t="s">
        <v>213</v>
      </c>
      <c r="T10" s="220"/>
      <c r="V10" s="391" t="s">
        <v>617</v>
      </c>
      <c r="W10" s="387">
        <v>1388</v>
      </c>
      <c r="X10" s="387">
        <v>283</v>
      </c>
      <c r="Y10" s="387">
        <v>1771</v>
      </c>
      <c r="Z10" s="387">
        <v>733</v>
      </c>
      <c r="AA10" s="387">
        <v>1321</v>
      </c>
      <c r="AB10" s="387">
        <v>907</v>
      </c>
      <c r="AC10" s="387">
        <v>322</v>
      </c>
      <c r="AD10" s="397">
        <f t="shared" si="0"/>
        <v>6725</v>
      </c>
    </row>
    <row r="11" spans="1:30" x14ac:dyDescent="0.25">
      <c r="B11" s="46"/>
      <c r="C11" s="45" t="s">
        <v>403</v>
      </c>
      <c r="D11" s="45"/>
      <c r="E11" s="45"/>
      <c r="F11" s="406" t="s">
        <v>405</v>
      </c>
      <c r="G11" s="45"/>
      <c r="H11" s="45"/>
      <c r="I11" s="150" t="s">
        <v>399</v>
      </c>
      <c r="J11" s="19"/>
      <c r="K11" s="139">
        <v>8</v>
      </c>
      <c r="L11" s="19" t="s">
        <v>199</v>
      </c>
      <c r="T11" s="220"/>
      <c r="V11" s="391" t="s">
        <v>618</v>
      </c>
      <c r="W11" s="387">
        <v>0</v>
      </c>
      <c r="X11" s="387">
        <v>0</v>
      </c>
      <c r="Y11" s="387">
        <v>0</v>
      </c>
      <c r="Z11" s="387">
        <v>0</v>
      </c>
      <c r="AA11" s="387">
        <v>0</v>
      </c>
      <c r="AB11" s="387">
        <v>519</v>
      </c>
      <c r="AC11" s="387">
        <v>0</v>
      </c>
      <c r="AD11" s="397">
        <f t="shared" si="0"/>
        <v>519</v>
      </c>
    </row>
    <row r="12" spans="1:30" x14ac:dyDescent="0.25">
      <c r="B12" s="46"/>
      <c r="C12" s="45" t="s">
        <v>406</v>
      </c>
      <c r="D12" s="45"/>
      <c r="E12" s="45"/>
      <c r="F12" s="406" t="s">
        <v>404</v>
      </c>
      <c r="G12" s="45"/>
      <c r="H12" s="45"/>
      <c r="I12" s="150"/>
      <c r="J12" s="19"/>
      <c r="K12" s="139">
        <v>9</v>
      </c>
      <c r="L12" s="19" t="s">
        <v>386</v>
      </c>
      <c r="T12" s="220"/>
      <c r="V12" s="391" t="s">
        <v>619</v>
      </c>
      <c r="W12" s="387">
        <v>50</v>
      </c>
      <c r="X12" s="387">
        <v>0</v>
      </c>
      <c r="Y12" s="387">
        <v>83</v>
      </c>
      <c r="Z12" s="387">
        <v>113</v>
      </c>
      <c r="AA12" s="387">
        <v>0</v>
      </c>
      <c r="AB12" s="387">
        <v>457</v>
      </c>
      <c r="AC12" s="387">
        <v>30</v>
      </c>
      <c r="AD12" s="397">
        <f t="shared" si="0"/>
        <v>733</v>
      </c>
    </row>
    <row r="13" spans="1:30" x14ac:dyDescent="0.25">
      <c r="B13" s="46"/>
      <c r="C13" s="45" t="s">
        <v>408</v>
      </c>
      <c r="D13" s="45"/>
      <c r="E13" s="45"/>
      <c r="F13" s="406" t="s">
        <v>407</v>
      </c>
      <c r="G13" s="45"/>
      <c r="H13" s="45"/>
      <c r="I13" s="150"/>
      <c r="J13" s="19"/>
      <c r="K13" s="285" t="s">
        <v>231</v>
      </c>
      <c r="L13" s="286" t="str">
        <f>INDEX(L4:L12,MATCH(C35,K4:K12,0))</f>
        <v>Vic</v>
      </c>
      <c r="M13" s="221"/>
      <c r="N13" s="221"/>
      <c r="O13" s="221"/>
      <c r="P13" s="221"/>
      <c r="Q13" s="221"/>
      <c r="R13" s="221"/>
      <c r="S13" s="221"/>
      <c r="T13" s="223"/>
      <c r="V13" s="391" t="s">
        <v>620</v>
      </c>
      <c r="W13" s="387">
        <v>0</v>
      </c>
      <c r="X13" s="387">
        <v>0</v>
      </c>
      <c r="Y13" s="387">
        <v>586</v>
      </c>
      <c r="Z13" s="387">
        <v>0</v>
      </c>
      <c r="AA13" s="387">
        <v>0</v>
      </c>
      <c r="AB13" s="387">
        <v>0</v>
      </c>
      <c r="AC13" s="387">
        <v>0</v>
      </c>
      <c r="AD13" s="397">
        <f t="shared" si="0"/>
        <v>586</v>
      </c>
    </row>
    <row r="14" spans="1:30" x14ac:dyDescent="0.25">
      <c r="B14" s="46"/>
      <c r="C14" s="152"/>
      <c r="D14" s="45"/>
      <c r="E14" s="45"/>
      <c r="F14" s="45"/>
      <c r="G14" s="45"/>
      <c r="H14" s="45"/>
      <c r="I14" s="150"/>
      <c r="J14" s="19"/>
      <c r="V14" s="391" t="s">
        <v>621</v>
      </c>
      <c r="W14" s="387">
        <v>595</v>
      </c>
      <c r="X14" s="387">
        <v>208</v>
      </c>
      <c r="Y14" s="387">
        <v>680</v>
      </c>
      <c r="Z14" s="387">
        <v>663</v>
      </c>
      <c r="AA14" s="387">
        <v>0</v>
      </c>
      <c r="AB14" s="387">
        <v>215</v>
      </c>
      <c r="AC14" s="387">
        <v>131</v>
      </c>
      <c r="AD14" s="397">
        <f t="shared" si="0"/>
        <v>2492</v>
      </c>
    </row>
    <row r="15" spans="1:30" x14ac:dyDescent="0.25">
      <c r="B15" s="46" t="s">
        <v>134</v>
      </c>
      <c r="C15" s="366">
        <f>(C5*C6*C7)*10^-3</f>
        <v>6.477424698000001</v>
      </c>
      <c r="D15" s="45"/>
      <c r="E15" s="45"/>
      <c r="F15" s="46" t="s">
        <v>250</v>
      </c>
      <c r="G15" s="45"/>
      <c r="H15" s="45"/>
      <c r="I15" s="150"/>
      <c r="J15" s="19"/>
      <c r="K15" s="282" t="s">
        <v>261</v>
      </c>
      <c r="L15" s="182"/>
      <c r="M15" s="182"/>
      <c r="N15" s="182"/>
      <c r="O15" s="217"/>
      <c r="P15" s="143"/>
      <c r="Q15" s="217"/>
      <c r="R15" s="217"/>
      <c r="S15" s="217"/>
      <c r="T15" s="218"/>
      <c r="V15" s="391" t="s">
        <v>622</v>
      </c>
      <c r="W15" s="387">
        <v>0</v>
      </c>
      <c r="X15" s="387">
        <v>0</v>
      </c>
      <c r="Y15" s="387">
        <v>0</v>
      </c>
      <c r="Z15" s="387">
        <v>0</v>
      </c>
      <c r="AA15" s="387">
        <v>0</v>
      </c>
      <c r="AB15" s="387">
        <v>1395</v>
      </c>
      <c r="AC15" s="387">
        <v>0</v>
      </c>
      <c r="AD15" s="397">
        <f t="shared" si="0"/>
        <v>1395</v>
      </c>
    </row>
    <row r="16" spans="1:30" x14ac:dyDescent="0.25">
      <c r="B16" s="45"/>
      <c r="C16" s="153"/>
      <c r="D16" s="45"/>
      <c r="E16" s="45"/>
      <c r="F16" s="45"/>
      <c r="G16" s="45"/>
      <c r="H16" s="45"/>
      <c r="I16" s="148"/>
      <c r="J16" s="19"/>
      <c r="K16" s="129">
        <v>1</v>
      </c>
      <c r="L16" s="123" t="s">
        <v>262</v>
      </c>
      <c r="M16" s="123"/>
      <c r="N16" s="123"/>
      <c r="P16" s="19"/>
      <c r="T16" s="220"/>
      <c r="V16" s="391" t="s">
        <v>11</v>
      </c>
      <c r="W16" s="387">
        <f t="shared" ref="W16:AD16" si="1">SUM(W5:W15)</f>
        <v>13830</v>
      </c>
      <c r="X16" s="387">
        <f>SUM(X5:X15)</f>
        <v>491</v>
      </c>
      <c r="Y16" s="387">
        <f>SUM(Y5:Y15)</f>
        <v>5773</v>
      </c>
      <c r="Z16" s="387">
        <f>SUM(Z5:Z15)</f>
        <v>3619</v>
      </c>
      <c r="AA16" s="387">
        <f>SUM(AA5:AA15)</f>
        <v>8386</v>
      </c>
      <c r="AB16" s="387">
        <f>SUM(AB5:AB15)</f>
        <v>12430</v>
      </c>
      <c r="AC16" s="387">
        <f t="shared" si="1"/>
        <v>560</v>
      </c>
      <c r="AD16" s="397">
        <f t="shared" si="1"/>
        <v>45089</v>
      </c>
    </row>
    <row r="17" spans="1:30" ht="18.75" x14ac:dyDescent="0.3">
      <c r="B17" s="157" t="s">
        <v>167</v>
      </c>
      <c r="C17" s="153"/>
      <c r="D17" s="45"/>
      <c r="E17" s="45"/>
      <c r="F17" s="45"/>
      <c r="G17" s="45"/>
      <c r="H17" s="45"/>
      <c r="I17" s="148"/>
      <c r="J17" s="19"/>
      <c r="K17" s="130">
        <v>2</v>
      </c>
      <c r="L17" s="125" t="s">
        <v>263</v>
      </c>
      <c r="M17" s="125"/>
      <c r="N17" s="125"/>
      <c r="O17" s="221"/>
      <c r="P17" s="222"/>
      <c r="Q17" s="221"/>
      <c r="R17" s="221"/>
      <c r="S17" s="221"/>
      <c r="T17" s="223"/>
      <c r="V17" s="391"/>
      <c r="W17" s="387"/>
      <c r="X17" s="387"/>
      <c r="Y17" s="387"/>
      <c r="Z17" s="387"/>
      <c r="AA17" s="387"/>
      <c r="AB17" s="387"/>
      <c r="AC17" s="387"/>
      <c r="AD17" s="397"/>
    </row>
    <row r="18" spans="1:30" x14ac:dyDescent="0.25">
      <c r="B18" s="46" t="s">
        <v>132</v>
      </c>
      <c r="C18" s="153"/>
      <c r="D18" s="45"/>
      <c r="E18" s="45"/>
      <c r="F18" s="46" t="s">
        <v>25</v>
      </c>
      <c r="G18" s="45"/>
      <c r="H18" s="45"/>
      <c r="I18" s="148"/>
      <c r="J18" s="19"/>
      <c r="V18" s="391" t="s">
        <v>649</v>
      </c>
      <c r="W18" s="387"/>
      <c r="X18" s="387"/>
      <c r="Y18" s="387"/>
      <c r="Z18" s="387"/>
      <c r="AA18" s="387"/>
      <c r="AB18" s="387"/>
      <c r="AC18" s="387"/>
      <c r="AD18" s="397"/>
    </row>
    <row r="19" spans="1:30" x14ac:dyDescent="0.25">
      <c r="B19" s="45" t="s">
        <v>253</v>
      </c>
      <c r="C19" s="153">
        <f>'Data input'!C19*10^-3</f>
        <v>0</v>
      </c>
      <c r="D19" s="45"/>
      <c r="E19" s="45"/>
      <c r="F19" s="401" t="s">
        <v>411</v>
      </c>
      <c r="G19" s="45"/>
      <c r="H19" s="45"/>
      <c r="I19" s="148"/>
      <c r="J19" s="19"/>
      <c r="K19" s="361" t="s">
        <v>395</v>
      </c>
      <c r="L19" s="217"/>
      <c r="M19" s="217"/>
      <c r="N19" s="217"/>
      <c r="O19" s="217"/>
      <c r="P19" s="217"/>
      <c r="Q19" s="217"/>
      <c r="R19" s="217"/>
      <c r="S19" s="217"/>
      <c r="T19" s="218"/>
      <c r="V19" s="391" t="s">
        <v>249</v>
      </c>
      <c r="W19" s="387" t="s">
        <v>384</v>
      </c>
      <c r="X19" s="387" t="s">
        <v>215</v>
      </c>
      <c r="Y19" s="387" t="s">
        <v>385</v>
      </c>
      <c r="Z19" s="387" t="s">
        <v>198</v>
      </c>
      <c r="AA19" s="387" t="s">
        <v>212</v>
      </c>
      <c r="AB19" s="387" t="s">
        <v>213</v>
      </c>
      <c r="AC19" s="387" t="s">
        <v>611</v>
      </c>
      <c r="AD19" s="392" t="s">
        <v>11</v>
      </c>
    </row>
    <row r="20" spans="1:30" x14ac:dyDescent="0.25">
      <c r="B20" s="45" t="s">
        <v>409</v>
      </c>
      <c r="C20" s="153">
        <v>25.7</v>
      </c>
      <c r="D20" s="45"/>
      <c r="E20" s="45"/>
      <c r="F20" s="401" t="s">
        <v>641</v>
      </c>
      <c r="G20" s="45"/>
      <c r="H20" s="45"/>
      <c r="I20" s="405" t="s">
        <v>398</v>
      </c>
      <c r="J20" s="19"/>
      <c r="K20" s="219"/>
      <c r="L20" s="359" t="s">
        <v>247</v>
      </c>
      <c r="M20" s="359" t="s">
        <v>248</v>
      </c>
      <c r="N20" s="359" t="s">
        <v>167</v>
      </c>
      <c r="O20" s="385" t="s">
        <v>610</v>
      </c>
      <c r="P20" s="359" t="s">
        <v>249</v>
      </c>
      <c r="T20" s="220"/>
      <c r="V20" s="391" t="s">
        <v>623</v>
      </c>
      <c r="W20" s="387">
        <v>4677</v>
      </c>
      <c r="X20" s="387">
        <v>2316</v>
      </c>
      <c r="Y20" s="387">
        <v>30</v>
      </c>
      <c r="Z20" s="387">
        <v>4</v>
      </c>
      <c r="AA20" s="387">
        <v>803</v>
      </c>
      <c r="AB20" s="387">
        <v>669</v>
      </c>
      <c r="AC20" s="387">
        <v>0</v>
      </c>
      <c r="AD20" s="397">
        <f t="shared" ref="AD20:AD26" si="2">SUM(W20:AC20)</f>
        <v>8499</v>
      </c>
    </row>
    <row r="21" spans="1:30" x14ac:dyDescent="0.25">
      <c r="B21" s="45" t="s">
        <v>254</v>
      </c>
      <c r="C21" s="365">
        <v>60.2</v>
      </c>
      <c r="D21" s="45"/>
      <c r="E21" s="45"/>
      <c r="F21" s="401" t="s">
        <v>642</v>
      </c>
      <c r="G21" s="45"/>
      <c r="H21" s="45"/>
      <c r="I21" s="150" t="s">
        <v>398</v>
      </c>
      <c r="J21" s="19"/>
      <c r="K21" s="219" t="s">
        <v>216</v>
      </c>
      <c r="L21" s="360">
        <f>L22</f>
        <v>0.93497497279651798</v>
      </c>
      <c r="M21" s="360">
        <f t="shared" ref="M21:P21" si="3">M22</f>
        <v>0</v>
      </c>
      <c r="N21" s="360">
        <f t="shared" si="3"/>
        <v>0.51919648397104445</v>
      </c>
      <c r="O21" s="360">
        <f t="shared" si="3"/>
        <v>0.89600000000000002</v>
      </c>
      <c r="P21" s="360">
        <f t="shared" si="3"/>
        <v>0</v>
      </c>
      <c r="T21" s="220"/>
      <c r="V21" s="391" t="s">
        <v>624</v>
      </c>
      <c r="W21" s="387">
        <v>234</v>
      </c>
      <c r="X21" s="387">
        <v>142</v>
      </c>
      <c r="Y21" s="387">
        <v>204</v>
      </c>
      <c r="Z21" s="387">
        <v>1151</v>
      </c>
      <c r="AA21" s="387">
        <v>432</v>
      </c>
      <c r="AB21" s="387">
        <v>12</v>
      </c>
      <c r="AC21" s="387">
        <v>0</v>
      </c>
      <c r="AD21" s="397">
        <f t="shared" si="2"/>
        <v>2175</v>
      </c>
    </row>
    <row r="22" spans="1:30" x14ac:dyDescent="0.25">
      <c r="B22" s="45"/>
      <c r="C22" s="45"/>
      <c r="D22" s="45"/>
      <c r="E22" s="45"/>
      <c r="F22" s="45"/>
      <c r="G22" s="45"/>
      <c r="H22" s="45"/>
      <c r="I22" s="150"/>
      <c r="J22" s="19"/>
      <c r="K22" s="139" t="s">
        <v>211</v>
      </c>
      <c r="L22" s="360">
        <f>((N50*O50)+(N59*O59)+(N60*O60)+(N61*O61)+(N62*O62)+(N70*O70)+(N71*O71))/(O50+O59+O60+O61+O62+O70+O71)</f>
        <v>0.93497497279651798</v>
      </c>
      <c r="M22" s="360">
        <v>0</v>
      </c>
      <c r="N22" s="360">
        <f>((N53*O53)+(N64*O64)+(N65*O65)+(N69*O69))/(O53+O64+O65+O69)</f>
        <v>0.51919648397104445</v>
      </c>
      <c r="O22" s="138">
        <f>((N58*O58))/O58</f>
        <v>0.89600000000000002</v>
      </c>
      <c r="P22" s="360">
        <v>0</v>
      </c>
      <c r="T22" s="220"/>
      <c r="V22" s="391" t="s">
        <v>625</v>
      </c>
      <c r="W22" s="387">
        <v>166</v>
      </c>
      <c r="X22" s="387">
        <v>5</v>
      </c>
      <c r="Y22" s="387">
        <v>33</v>
      </c>
      <c r="Z22" s="387">
        <v>20</v>
      </c>
      <c r="AA22" s="387">
        <v>113</v>
      </c>
      <c r="AB22" s="387">
        <v>429</v>
      </c>
      <c r="AC22" s="387">
        <v>1</v>
      </c>
      <c r="AD22" s="397">
        <f t="shared" si="2"/>
        <v>767</v>
      </c>
    </row>
    <row r="23" spans="1:30" x14ac:dyDescent="0.25">
      <c r="B23" s="46" t="s">
        <v>134</v>
      </c>
      <c r="C23" s="46" t="s">
        <v>400</v>
      </c>
      <c r="D23" s="45"/>
      <c r="E23" s="45"/>
      <c r="F23" s="45"/>
      <c r="G23" s="45"/>
      <c r="H23" s="45"/>
      <c r="I23" s="151"/>
      <c r="J23" s="19"/>
      <c r="K23" s="139" t="s">
        <v>215</v>
      </c>
      <c r="L23" s="360">
        <v>0</v>
      </c>
      <c r="M23" s="360">
        <v>0</v>
      </c>
      <c r="N23" s="360">
        <f>((N124*O124)+(N125*O125)+(N139*O139)+(N140*O140))/(O124+O125+O139+O140)</f>
        <v>0.55760517799352749</v>
      </c>
      <c r="O23" s="138">
        <v>0</v>
      </c>
      <c r="P23" s="360">
        <v>0</v>
      </c>
      <c r="T23" s="220"/>
      <c r="V23" s="391" t="s">
        <v>626</v>
      </c>
      <c r="W23" s="387">
        <v>328</v>
      </c>
      <c r="X23" s="387">
        <v>8</v>
      </c>
      <c r="Y23" s="387">
        <v>141</v>
      </c>
      <c r="Z23" s="387">
        <v>130</v>
      </c>
      <c r="AA23" s="387">
        <v>152</v>
      </c>
      <c r="AB23" s="387">
        <v>256</v>
      </c>
      <c r="AC23" s="387">
        <v>6</v>
      </c>
      <c r="AD23" s="397">
        <f t="shared" si="2"/>
        <v>1021</v>
      </c>
    </row>
    <row r="24" spans="1:30" x14ac:dyDescent="0.25">
      <c r="B24" s="45"/>
      <c r="C24" s="45" t="s">
        <v>401</v>
      </c>
      <c r="D24" s="45"/>
      <c r="E24" s="45"/>
      <c r="F24" s="45" t="s">
        <v>402</v>
      </c>
      <c r="G24" s="45"/>
      <c r="H24" s="45"/>
      <c r="I24" s="148"/>
      <c r="J24" s="19"/>
      <c r="K24" s="139" t="s">
        <v>385</v>
      </c>
      <c r="L24" s="360">
        <f>((N172*O172)+(N177*O177)+(N190*O190)+(N191*O191)+(N192*O192)+(N208*O208))/(O172+O177+O190+O191+O192+O208)</f>
        <v>0.98488692390139332</v>
      </c>
      <c r="M24" s="360">
        <v>0</v>
      </c>
      <c r="N24" s="360">
        <f>((N169*O169)+(N170*O170)+(N171*O171)+(N173*O173)+(N175*O175)+(N183*O183)+(N184*O184)+(N185*O185)+(N186*O186)+(N187*O187)+(N189*O189)+(N194*O194)+(N196*O196)+(N197*O197)+(N198*O198)+(N199*O199)+(N200*O200)+(N201*O201)+(N202*O202)+(N204*O204)+(N207*O207)+(N209*O209))/(O169+O170+O171+O173+O175+O183+O184+O185+O186+O187+O188+O189+O194+O196+O197+O198+O199+O200+O201+O202+O204+O207+O209)</f>
        <v>0.53947935779816514</v>
      </c>
      <c r="O24" s="138">
        <f>((N179*O179)+(N182*O182)+(N188*O188)+(N195*O195)+(N203*O203)+(N205*O205))/(O179+O182+O188+O195+O203+O205)</f>
        <v>0.75091263940520447</v>
      </c>
      <c r="P24" s="360">
        <v>0</v>
      </c>
      <c r="T24" s="220"/>
      <c r="V24" s="391" t="s">
        <v>627</v>
      </c>
      <c r="W24" s="387">
        <v>3</v>
      </c>
      <c r="X24" s="387">
        <v>0</v>
      </c>
      <c r="Y24" s="387">
        <v>0</v>
      </c>
      <c r="Z24" s="387">
        <v>0</v>
      </c>
      <c r="AA24" s="387">
        <v>0</v>
      </c>
      <c r="AB24" s="387">
        <v>0</v>
      </c>
      <c r="AC24" s="387">
        <v>0</v>
      </c>
      <c r="AD24" s="397">
        <f t="shared" si="2"/>
        <v>3</v>
      </c>
    </row>
    <row r="25" spans="1:30" x14ac:dyDescent="0.25">
      <c r="B25" s="45"/>
      <c r="C25" s="45" t="s">
        <v>403</v>
      </c>
      <c r="D25" s="45"/>
      <c r="E25" s="45"/>
      <c r="F25" s="45" t="s">
        <v>405</v>
      </c>
      <c r="G25" s="45"/>
      <c r="H25" s="45"/>
      <c r="I25" s="150" t="s">
        <v>399</v>
      </c>
      <c r="J25" s="19"/>
      <c r="K25" s="139" t="s">
        <v>198</v>
      </c>
      <c r="L25" s="360">
        <v>0</v>
      </c>
      <c r="M25" s="360">
        <f>((N111*O111)+(N114*O114))/(O111+O114)</f>
        <v>1.1080762155059132</v>
      </c>
      <c r="N25" s="360">
        <f>((N102*O102)+(N103*O103)+(N106*O106)+(N109*O109)+(N112*O112)+(N113*O113)+(N116*O116)+(N120*O120)+(N121*O121))/(O102+O103+O106+O109+O112+O113+O116+O120+O121)</f>
        <v>0.58724116114625979</v>
      </c>
      <c r="O25" s="138">
        <f>((N99*O99)+(N115*O115)+(N119*O119))/(O99+O115+O119)</f>
        <v>0.94</v>
      </c>
      <c r="P25" s="360">
        <v>0</v>
      </c>
      <c r="T25" s="220"/>
      <c r="V25" s="391" t="s">
        <v>628</v>
      </c>
      <c r="W25" s="387">
        <v>0</v>
      </c>
      <c r="X25" s="387">
        <v>0</v>
      </c>
      <c r="Y25" s="387">
        <v>0</v>
      </c>
      <c r="Z25" s="387">
        <v>0</v>
      </c>
      <c r="AA25" s="387">
        <v>0</v>
      </c>
      <c r="AB25" s="387">
        <v>0.1</v>
      </c>
      <c r="AC25" s="387">
        <v>0</v>
      </c>
      <c r="AD25" s="397">
        <f t="shared" si="2"/>
        <v>0.1</v>
      </c>
    </row>
    <row r="26" spans="1:30" x14ac:dyDescent="0.25">
      <c r="B26" s="45"/>
      <c r="C26" s="45" t="s">
        <v>406</v>
      </c>
      <c r="D26" s="45"/>
      <c r="E26" s="45"/>
      <c r="F26" s="45" t="s">
        <v>404</v>
      </c>
      <c r="G26" s="45"/>
      <c r="H26" s="45"/>
      <c r="I26" s="148"/>
      <c r="J26" s="19"/>
      <c r="K26" s="139" t="s">
        <v>212</v>
      </c>
      <c r="L26" s="360">
        <v>0</v>
      </c>
      <c r="M26" s="360">
        <f>((N145*O145)+(N149*O149)+(N150*O150)+(N155*O155)+(N156*O156)+(N167*O167))/(O145+O149+O150+O155+O156+O167)</f>
        <v>1.3451901522992755</v>
      </c>
      <c r="N26" s="360">
        <f>((N146*O146)+(N152*O152)+(N153*O153)+(N154*O154)+(N159*O159)+(N162*O162)+(N164*O164)+(N165*O165))/(O146+O152+O153+O154+O159+O162+O164+O165)</f>
        <v>0.65778367177786989</v>
      </c>
      <c r="O26" s="138">
        <v>0</v>
      </c>
      <c r="P26" s="360">
        <v>0</v>
      </c>
      <c r="T26" s="220"/>
      <c r="V26" s="391" t="s">
        <v>629</v>
      </c>
      <c r="W26" s="387">
        <v>0</v>
      </c>
      <c r="X26" s="387">
        <v>0</v>
      </c>
      <c r="Y26" s="387">
        <v>0.1</v>
      </c>
      <c r="Z26" s="387">
        <v>0</v>
      </c>
      <c r="AA26" s="387">
        <v>0.2</v>
      </c>
      <c r="AB26" s="387">
        <v>0</v>
      </c>
      <c r="AC26" s="387">
        <v>0</v>
      </c>
      <c r="AD26" s="397">
        <f t="shared" si="2"/>
        <v>0.30000000000000004</v>
      </c>
    </row>
    <row r="27" spans="1:30" x14ac:dyDescent="0.25">
      <c r="B27" s="45"/>
      <c r="C27" s="45" t="s">
        <v>408</v>
      </c>
      <c r="D27" s="45"/>
      <c r="E27" s="45"/>
      <c r="F27" s="45" t="s">
        <v>407</v>
      </c>
      <c r="G27" s="45"/>
      <c r="H27" s="45"/>
      <c r="I27" s="148"/>
      <c r="J27" s="19"/>
      <c r="K27" s="139" t="s">
        <v>213</v>
      </c>
      <c r="L27" s="360">
        <f>((N77*O77)+(N78*O78)+(N79*O79)+(N82*O82)+(N84*O84)+(N86*O86)+(N90*O90)+(N91*O91)+(N93*O93)+(N94*O94))/(O77+O78+O79+O82+O84+O86+O90+O91+O93+O94)</f>
        <v>0.92733371454711799</v>
      </c>
      <c r="M27" s="360">
        <v>0</v>
      </c>
      <c r="N27" s="360">
        <f>((N73*O73)+(N75*O75)+(N76*O76)+(N80*O80)+(N81*O81)+(N88*O88)+(N89*O89)+(N92*O92)+(N95*O95)+(N98*O98))/(O73+O75+O76+O80+O81+O88+O89+O92+O95+O98)</f>
        <v>0.50054060482500851</v>
      </c>
      <c r="O27" s="138">
        <f>((N85*O85)+(N87*O87))/(O85+O87)</f>
        <v>0.8405132743362832</v>
      </c>
      <c r="P27" s="360">
        <v>0</v>
      </c>
      <c r="T27" s="220"/>
      <c r="V27" s="391" t="s">
        <v>630</v>
      </c>
      <c r="W27" s="387">
        <f t="shared" ref="W27:AB27" si="4">SUM(W20:W26)</f>
        <v>5408</v>
      </c>
      <c r="X27" s="387">
        <f t="shared" si="4"/>
        <v>2471</v>
      </c>
      <c r="Y27" s="387">
        <f t="shared" si="4"/>
        <v>408.1</v>
      </c>
      <c r="Z27" s="387">
        <f t="shared" si="4"/>
        <v>1305</v>
      </c>
      <c r="AA27" s="387">
        <f t="shared" si="4"/>
        <v>1500.2</v>
      </c>
      <c r="AB27" s="387">
        <f t="shared" si="4"/>
        <v>1366.1</v>
      </c>
      <c r="AC27" s="387">
        <f t="shared" ref="AC27:AD27" si="5">SUM(AC20:AC26)</f>
        <v>7</v>
      </c>
      <c r="AD27" s="397">
        <f t="shared" si="5"/>
        <v>12465.4</v>
      </c>
    </row>
    <row r="28" spans="1:30" x14ac:dyDescent="0.25">
      <c r="A28" s="158"/>
      <c r="B28" s="45"/>
      <c r="C28" s="45"/>
      <c r="D28" s="45"/>
      <c r="E28" s="45"/>
      <c r="F28" s="45"/>
      <c r="G28" s="45"/>
      <c r="H28" s="45"/>
      <c r="I28" s="148"/>
      <c r="J28" s="19"/>
      <c r="K28" s="139" t="s">
        <v>199</v>
      </c>
      <c r="L28" s="360">
        <v>0</v>
      </c>
      <c r="M28" s="360">
        <v>0</v>
      </c>
      <c r="N28" s="360">
        <f>((N219*O219)+(N220*O220)+(N221*O221)+(N222*O222)+(N223*O223)+(N224*O224)+(N225*O225)+(N226*O226))/(O219+O220+O221+O222+O223+O224+O225+O226)</f>
        <v>0.52879687500000006</v>
      </c>
      <c r="O28" s="138">
        <f>N218</f>
        <v>1.0189999999999999</v>
      </c>
      <c r="P28" s="360">
        <v>0</v>
      </c>
      <c r="T28" s="220"/>
      <c r="V28" s="391"/>
      <c r="W28" s="387"/>
      <c r="X28" s="387"/>
      <c r="Y28" s="387"/>
      <c r="Z28" s="387"/>
      <c r="AA28" s="387"/>
      <c r="AB28" s="387"/>
      <c r="AC28" s="387"/>
      <c r="AD28" s="397"/>
    </row>
    <row r="29" spans="1:30" x14ac:dyDescent="0.25">
      <c r="A29" s="158"/>
      <c r="B29" s="46" t="s">
        <v>255</v>
      </c>
      <c r="C29" s="155">
        <f>(C19*C20*C21)*10^-3</f>
        <v>0</v>
      </c>
      <c r="D29" s="45"/>
      <c r="E29" s="45"/>
      <c r="F29" s="46" t="s">
        <v>250</v>
      </c>
      <c r="G29" s="45"/>
      <c r="H29" s="45"/>
      <c r="I29" s="148"/>
      <c r="J29" s="19"/>
      <c r="K29" s="139" t="s">
        <v>386</v>
      </c>
      <c r="L29" s="360">
        <v>0</v>
      </c>
      <c r="M29" s="360">
        <v>0</v>
      </c>
      <c r="N29" s="360">
        <f>((N210*O210)+(N211*O211)+(N212*O212)+(N213*O213)+(N214*O214)+(N215*O215)+(N217*O217))/(O210+O211+O212+O213+O214+O215+O217)</f>
        <v>0.50357318224740322</v>
      </c>
      <c r="O29" s="138">
        <f>N216</f>
        <v>0.84299999999999997</v>
      </c>
      <c r="P29" s="360">
        <v>0</v>
      </c>
      <c r="T29" s="220"/>
      <c r="V29" s="386" t="s">
        <v>631</v>
      </c>
      <c r="W29" s="387" t="s">
        <v>384</v>
      </c>
      <c r="X29" s="387" t="s">
        <v>215</v>
      </c>
      <c r="Y29" s="387" t="s">
        <v>385</v>
      </c>
      <c r="Z29" s="387" t="s">
        <v>198</v>
      </c>
      <c r="AA29" s="387" t="s">
        <v>212</v>
      </c>
      <c r="AB29" s="387" t="s">
        <v>213</v>
      </c>
      <c r="AC29" s="387" t="s">
        <v>611</v>
      </c>
      <c r="AD29" s="392" t="s">
        <v>11</v>
      </c>
    </row>
    <row r="30" spans="1:30" x14ac:dyDescent="0.25">
      <c r="A30" s="158"/>
      <c r="B30" s="45"/>
      <c r="C30" s="153"/>
      <c r="D30" s="45"/>
      <c r="E30" s="45"/>
      <c r="F30" s="45"/>
      <c r="G30" s="45"/>
      <c r="H30" s="45"/>
      <c r="I30" s="148"/>
      <c r="J30" s="19"/>
      <c r="K30" s="139" t="s">
        <v>391</v>
      </c>
      <c r="L30" s="360"/>
      <c r="M30" s="360"/>
      <c r="N30" s="360"/>
      <c r="P30" s="360"/>
      <c r="T30" s="220"/>
      <c r="V30" s="391" t="s">
        <v>247</v>
      </c>
      <c r="W30" s="387">
        <f t="shared" ref="W30:AD31" si="6">W5</f>
        <v>11797</v>
      </c>
      <c r="X30" s="387">
        <f t="shared" ref="X30:AB31" si="7">X5</f>
        <v>0</v>
      </c>
      <c r="Y30" s="387">
        <f t="shared" si="7"/>
        <v>1745</v>
      </c>
      <c r="Z30" s="387">
        <f t="shared" si="7"/>
        <v>0</v>
      </c>
      <c r="AA30" s="387">
        <f t="shared" si="7"/>
        <v>0</v>
      </c>
      <c r="AB30" s="387">
        <f t="shared" si="7"/>
        <v>8805</v>
      </c>
      <c r="AC30" s="387">
        <f t="shared" si="6"/>
        <v>0</v>
      </c>
      <c r="AD30" s="397">
        <f t="shared" si="6"/>
        <v>22347</v>
      </c>
    </row>
    <row r="31" spans="1:30" ht="18.75" x14ac:dyDescent="0.3">
      <c r="A31" s="158"/>
      <c r="B31" s="157" t="s">
        <v>256</v>
      </c>
      <c r="C31" s="153"/>
      <c r="D31" s="45"/>
      <c r="E31" s="45"/>
      <c r="F31" s="45"/>
      <c r="G31" s="45"/>
      <c r="H31" s="45"/>
      <c r="I31" s="148"/>
      <c r="J31" s="19"/>
      <c r="K31" s="219"/>
      <c r="T31" s="220"/>
      <c r="V31" s="391" t="s">
        <v>248</v>
      </c>
      <c r="W31" s="387">
        <f t="shared" si="6"/>
        <v>0</v>
      </c>
      <c r="X31" s="387">
        <f t="shared" si="7"/>
        <v>0</v>
      </c>
      <c r="Y31" s="387">
        <f t="shared" si="7"/>
        <v>0</v>
      </c>
      <c r="Z31" s="387">
        <f t="shared" si="7"/>
        <v>780</v>
      </c>
      <c r="AA31" s="387">
        <f t="shared" si="7"/>
        <v>6555</v>
      </c>
      <c r="AB31" s="387">
        <f t="shared" si="7"/>
        <v>0</v>
      </c>
      <c r="AC31" s="387">
        <f t="shared" si="6"/>
        <v>0</v>
      </c>
      <c r="AD31" s="397">
        <f t="shared" si="6"/>
        <v>7335</v>
      </c>
    </row>
    <row r="32" spans="1:30" x14ac:dyDescent="0.25">
      <c r="B32" s="46" t="s">
        <v>132</v>
      </c>
      <c r="C32" s="153"/>
      <c r="D32" s="45"/>
      <c r="E32" s="45"/>
      <c r="F32" s="46" t="s">
        <v>25</v>
      </c>
      <c r="G32" s="45"/>
      <c r="H32" s="45"/>
      <c r="I32" s="148"/>
      <c r="J32" s="19"/>
      <c r="K32" s="219" t="s">
        <v>387</v>
      </c>
      <c r="T32" s="220"/>
      <c r="V32" s="391" t="s">
        <v>167</v>
      </c>
      <c r="W32" s="387">
        <f>SUM(W7,W10,W11,W14,W15)</f>
        <v>1983</v>
      </c>
      <c r="X32" s="387">
        <f t="shared" ref="X32:AD32" si="8">SUM(X7,X10,X11,X14,X15)</f>
        <v>491</v>
      </c>
      <c r="Y32" s="387">
        <f t="shared" si="8"/>
        <v>2719</v>
      </c>
      <c r="Z32" s="387">
        <f t="shared" si="8"/>
        <v>2676</v>
      </c>
      <c r="AA32" s="387">
        <f t="shared" si="8"/>
        <v>1831</v>
      </c>
      <c r="AB32" s="387">
        <f t="shared" si="8"/>
        <v>3168</v>
      </c>
      <c r="AC32" s="387">
        <f t="shared" si="8"/>
        <v>453</v>
      </c>
      <c r="AD32" s="397">
        <f t="shared" si="8"/>
        <v>13321</v>
      </c>
    </row>
    <row r="33" spans="2:30" x14ac:dyDescent="0.25">
      <c r="B33" s="45" t="s">
        <v>257</v>
      </c>
      <c r="C33" s="153">
        <f>'Data input'!C20</f>
        <v>4000</v>
      </c>
      <c r="D33" s="45"/>
      <c r="E33" s="45"/>
      <c r="F33" s="45" t="s">
        <v>133</v>
      </c>
      <c r="G33" s="45"/>
      <c r="H33" s="45"/>
      <c r="I33" s="148"/>
      <c r="J33" s="19"/>
      <c r="K33" s="219"/>
      <c r="L33" s="17" t="s">
        <v>247</v>
      </c>
      <c r="M33" s="17" t="s">
        <v>248</v>
      </c>
      <c r="N33" s="17" t="s">
        <v>167</v>
      </c>
      <c r="O33" s="385" t="s">
        <v>610</v>
      </c>
      <c r="P33" s="385" t="s">
        <v>249</v>
      </c>
      <c r="T33" s="220"/>
      <c r="V33" s="393" t="s">
        <v>610</v>
      </c>
      <c r="W33" s="387">
        <f>W12</f>
        <v>50</v>
      </c>
      <c r="X33" s="387">
        <f t="shared" ref="X33:AD33" si="9">X12</f>
        <v>0</v>
      </c>
      <c r="Y33" s="387">
        <f t="shared" si="9"/>
        <v>83</v>
      </c>
      <c r="Z33" s="387">
        <f t="shared" si="9"/>
        <v>113</v>
      </c>
      <c r="AA33" s="387">
        <f t="shared" si="9"/>
        <v>0</v>
      </c>
      <c r="AB33" s="387">
        <f t="shared" si="9"/>
        <v>457</v>
      </c>
      <c r="AC33" s="387">
        <f t="shared" si="9"/>
        <v>30</v>
      </c>
      <c r="AD33" s="397">
        <f t="shared" si="9"/>
        <v>733</v>
      </c>
    </row>
    <row r="34" spans="2:30" x14ac:dyDescent="0.25">
      <c r="B34" s="45" t="s">
        <v>258</v>
      </c>
      <c r="C34" s="153">
        <f>C33/10^3</f>
        <v>4</v>
      </c>
      <c r="D34" s="45"/>
      <c r="E34" s="45"/>
      <c r="F34" s="45" t="s">
        <v>259</v>
      </c>
      <c r="G34" s="45"/>
      <c r="H34" s="45"/>
      <c r="I34" s="149"/>
      <c r="J34" s="19"/>
      <c r="K34" s="219" t="s">
        <v>216</v>
      </c>
      <c r="L34" s="138">
        <f>L35</f>
        <v>0.61321343174966214</v>
      </c>
      <c r="M34" s="138">
        <f t="shared" ref="M34:P34" si="10">M35</f>
        <v>0</v>
      </c>
      <c r="N34" s="138">
        <f t="shared" si="10"/>
        <v>0.1030772429566483</v>
      </c>
      <c r="O34" s="138">
        <f t="shared" si="10"/>
        <v>2.5990227674394426E-3</v>
      </c>
      <c r="P34" s="138">
        <f t="shared" si="10"/>
        <v>0.28111030252625013</v>
      </c>
      <c r="T34" s="220"/>
      <c r="V34" s="391" t="s">
        <v>249</v>
      </c>
      <c r="W34" s="387">
        <f t="shared" ref="W34:AD34" si="11">W27</f>
        <v>5408</v>
      </c>
      <c r="X34" s="387">
        <f t="shared" si="11"/>
        <v>2471</v>
      </c>
      <c r="Y34" s="387">
        <f t="shared" si="11"/>
        <v>408.1</v>
      </c>
      <c r="Z34" s="387">
        <f t="shared" si="11"/>
        <v>1305</v>
      </c>
      <c r="AA34" s="387">
        <f t="shared" si="11"/>
        <v>1500.2</v>
      </c>
      <c r="AB34" s="387">
        <f t="shared" si="11"/>
        <v>1366.1</v>
      </c>
      <c r="AC34" s="387">
        <f t="shared" si="11"/>
        <v>7</v>
      </c>
      <c r="AD34" s="397">
        <f t="shared" si="11"/>
        <v>12465.4</v>
      </c>
    </row>
    <row r="35" spans="2:30" x14ac:dyDescent="0.25">
      <c r="B35" s="45" t="s">
        <v>246</v>
      </c>
      <c r="C35" s="153">
        <f>'Data input'!C3</f>
        <v>6</v>
      </c>
      <c r="D35" s="45" t="str">
        <f>L13</f>
        <v>Vic</v>
      </c>
      <c r="E35" s="45"/>
      <c r="F35" s="45" t="s">
        <v>260</v>
      </c>
      <c r="G35" s="45"/>
      <c r="H35" s="45"/>
      <c r="I35" s="148"/>
      <c r="J35" s="19"/>
      <c r="K35" s="139" t="s">
        <v>211</v>
      </c>
      <c r="L35" s="138">
        <f>W30/W35</f>
        <v>0.61321343174966214</v>
      </c>
      <c r="M35" s="138">
        <v>0</v>
      </c>
      <c r="N35" s="138">
        <f>W32/W35</f>
        <v>0.1030772429566483</v>
      </c>
      <c r="O35" s="138">
        <f>W33/W35</f>
        <v>2.5990227674394426E-3</v>
      </c>
      <c r="P35" s="138">
        <f>W34/W35</f>
        <v>0.28111030252625013</v>
      </c>
      <c r="T35" s="220"/>
      <c r="V35" s="396" t="s">
        <v>11</v>
      </c>
      <c r="W35" s="399">
        <f t="shared" ref="W35:AD35" si="12">SUM(W30:W34)</f>
        <v>19238</v>
      </c>
      <c r="X35" s="399">
        <f t="shared" si="12"/>
        <v>2962</v>
      </c>
      <c r="Y35" s="399">
        <f t="shared" si="12"/>
        <v>4955.1000000000004</v>
      </c>
      <c r="Z35" s="399">
        <f t="shared" si="12"/>
        <v>4874</v>
      </c>
      <c r="AA35" s="399">
        <f t="shared" si="12"/>
        <v>9886.2000000000007</v>
      </c>
      <c r="AB35" s="399">
        <f t="shared" si="12"/>
        <v>13796.1</v>
      </c>
      <c r="AC35" s="399">
        <f t="shared" si="12"/>
        <v>490</v>
      </c>
      <c r="AD35" s="398">
        <f t="shared" si="12"/>
        <v>56201.4</v>
      </c>
    </row>
    <row r="36" spans="2:30" x14ac:dyDescent="0.25">
      <c r="B36" s="45" t="s">
        <v>264</v>
      </c>
      <c r="C36" s="153">
        <f>'Data input'!C5</f>
        <v>1</v>
      </c>
      <c r="D36" s="45" t="str">
        <f>INDEX(L16:L17,MATCH(C36,K16:K17,0))</f>
        <v>State Grid</v>
      </c>
      <c r="E36" s="45"/>
      <c r="F36" s="45"/>
      <c r="G36" s="45"/>
      <c r="H36" s="45"/>
      <c r="I36" s="148"/>
      <c r="J36" s="19"/>
      <c r="K36" s="139" t="s">
        <v>215</v>
      </c>
      <c r="L36" s="138">
        <v>0</v>
      </c>
      <c r="M36" s="138">
        <v>0</v>
      </c>
      <c r="N36" s="138">
        <f>X32/X35</f>
        <v>0.16576637407157327</v>
      </c>
      <c r="O36" s="138">
        <v>0</v>
      </c>
      <c r="P36" s="138">
        <f>X34/X35</f>
        <v>0.83423362592842676</v>
      </c>
      <c r="T36" s="220"/>
      <c r="V36" s="391"/>
      <c r="W36" s="387"/>
      <c r="X36" s="387"/>
      <c r="Y36" s="387"/>
      <c r="Z36" s="387"/>
      <c r="AA36" s="387"/>
      <c r="AB36" s="387"/>
      <c r="AC36" s="387"/>
      <c r="AD36" s="392"/>
    </row>
    <row r="37" spans="2:30" x14ac:dyDescent="0.25">
      <c r="B37" s="45" t="s">
        <v>396</v>
      </c>
      <c r="C37" s="153">
        <f>IF(C36=1,1,0)</f>
        <v>1</v>
      </c>
      <c r="D37" s="45"/>
      <c r="E37" s="45"/>
      <c r="F37" s="45"/>
      <c r="G37" s="45"/>
      <c r="H37" s="45"/>
      <c r="I37" s="148"/>
      <c r="K37" s="139" t="s">
        <v>385</v>
      </c>
      <c r="L37" s="138">
        <f>Y30/Y35</f>
        <v>0.35216241851829427</v>
      </c>
      <c r="M37" s="138">
        <v>0</v>
      </c>
      <c r="N37" s="138">
        <f>Y32/Y35</f>
        <v>0.54872757361102698</v>
      </c>
      <c r="O37" s="138">
        <f>Y33/Y35</f>
        <v>1.675041876046901E-2</v>
      </c>
      <c r="P37" s="138">
        <f>Y34/Y35</f>
        <v>8.2359589110209686E-2</v>
      </c>
      <c r="T37" s="220"/>
      <c r="V37" s="391"/>
      <c r="W37" s="387"/>
      <c r="X37" s="387"/>
      <c r="Y37" s="387"/>
      <c r="Z37" s="387"/>
      <c r="AA37" s="387"/>
      <c r="AB37" s="387"/>
      <c r="AC37" s="387"/>
      <c r="AD37" s="392"/>
    </row>
    <row r="38" spans="2:30" x14ac:dyDescent="0.25">
      <c r="B38" s="45"/>
      <c r="C38" s="45"/>
      <c r="D38" s="45"/>
      <c r="E38" s="45"/>
      <c r="F38" s="45"/>
      <c r="G38" s="45"/>
      <c r="H38" s="45"/>
      <c r="I38" s="148"/>
      <c r="K38" s="139" t="s">
        <v>198</v>
      </c>
      <c r="L38" s="138">
        <v>0</v>
      </c>
      <c r="M38" s="138">
        <f>Z31/Z35</f>
        <v>0.16003282724661469</v>
      </c>
      <c r="N38" s="138">
        <f>Z32/Z35</f>
        <v>0.54903569963069343</v>
      </c>
      <c r="O38" s="138">
        <f>Z33/Z35</f>
        <v>2.3184242921624947E-2</v>
      </c>
      <c r="P38" s="138">
        <f>Z34/Z35</f>
        <v>0.26774723020106689</v>
      </c>
      <c r="T38" s="220"/>
      <c r="V38" s="391"/>
      <c r="W38" s="387"/>
      <c r="X38" s="387"/>
      <c r="Y38" s="387"/>
      <c r="Z38" s="387"/>
      <c r="AA38" s="387"/>
      <c r="AB38" s="387"/>
      <c r="AC38" s="387"/>
      <c r="AD38" s="392"/>
    </row>
    <row r="39" spans="2:30" ht="15.6" customHeight="1" x14ac:dyDescent="0.25">
      <c r="B39" s="45" t="s">
        <v>265</v>
      </c>
      <c r="C39" s="45"/>
      <c r="D39" s="45"/>
      <c r="E39" s="45"/>
      <c r="F39" s="45"/>
      <c r="G39" s="45"/>
      <c r="H39" s="45"/>
      <c r="I39" s="148"/>
      <c r="K39" s="139" t="s">
        <v>212</v>
      </c>
      <c r="L39" s="138">
        <v>0</v>
      </c>
      <c r="M39" s="138">
        <f>AA31/AA35</f>
        <v>0.6630454573041209</v>
      </c>
      <c r="N39" s="138">
        <f>AA32/AA35</f>
        <v>0.18520766320729906</v>
      </c>
      <c r="O39" s="138">
        <v>0</v>
      </c>
      <c r="P39" s="138">
        <f>AA34/AA35</f>
        <v>0.15174687948858004</v>
      </c>
      <c r="T39" s="220"/>
      <c r="V39" s="391"/>
      <c r="W39" s="387"/>
      <c r="X39" s="387"/>
      <c r="Y39" s="387"/>
      <c r="Z39" s="387"/>
      <c r="AA39" s="387"/>
      <c r="AB39" s="387"/>
      <c r="AC39" s="387"/>
      <c r="AD39" s="392"/>
    </row>
    <row r="40" spans="2:30" ht="16.7" customHeight="1" x14ac:dyDescent="0.25">
      <c r="B40" s="45" t="s">
        <v>266</v>
      </c>
      <c r="C40" s="401" t="s">
        <v>388</v>
      </c>
      <c r="D40" s="401" t="s">
        <v>390</v>
      </c>
      <c r="E40" s="45"/>
      <c r="F40" s="45"/>
      <c r="G40" s="45"/>
      <c r="H40" s="45"/>
      <c r="I40" s="148"/>
      <c r="K40" s="139" t="s">
        <v>213</v>
      </c>
      <c r="L40" s="138">
        <f>AB30/AB35</f>
        <v>0.63822384586948488</v>
      </c>
      <c r="M40" s="138">
        <v>0</v>
      </c>
      <c r="N40" s="138">
        <f>AB32/AB35</f>
        <v>0.2296301128579816</v>
      </c>
      <c r="O40" s="138">
        <f>AB33/AB35</f>
        <v>3.3125303527808583E-2</v>
      </c>
      <c r="P40" s="138">
        <f>AB34/AB35</f>
        <v>9.9020737744724946E-2</v>
      </c>
      <c r="T40" s="220"/>
      <c r="V40" s="364" t="s">
        <v>648</v>
      </c>
      <c r="W40" s="394"/>
      <c r="X40" s="394"/>
      <c r="Y40" s="394"/>
      <c r="Z40" s="394"/>
      <c r="AA40" s="394"/>
      <c r="AB40" s="394"/>
      <c r="AC40" s="394"/>
      <c r="AD40" s="395"/>
    </row>
    <row r="41" spans="2:30" ht="16.7" customHeight="1" x14ac:dyDescent="0.25">
      <c r="B41" s="45" t="s">
        <v>247</v>
      </c>
      <c r="C41" s="363">
        <f>INDEX(L21:L29,MATCH(D35,K21:K29,0))</f>
        <v>0</v>
      </c>
      <c r="D41" s="363">
        <f>INDEX(L34:L42,MATCH(D35,K34:K42,0))</f>
        <v>0</v>
      </c>
      <c r="E41" s="45"/>
      <c r="F41" s="45" t="s">
        <v>389</v>
      </c>
      <c r="G41" s="45"/>
      <c r="H41" s="45"/>
      <c r="I41" s="148"/>
      <c r="K41" s="139" t="s">
        <v>199</v>
      </c>
      <c r="L41" s="138">
        <v>0</v>
      </c>
      <c r="M41" s="138">
        <v>0</v>
      </c>
      <c r="N41" s="138">
        <f>AC32/AC35</f>
        <v>0.92448979591836733</v>
      </c>
      <c r="O41" s="138">
        <f>AC33/AC35</f>
        <v>6.1224489795918366E-2</v>
      </c>
      <c r="P41" s="138">
        <f>AC34/AC35</f>
        <v>1.4285714285714285E-2</v>
      </c>
      <c r="T41" s="220"/>
    </row>
    <row r="42" spans="2:30" ht="12" customHeight="1" x14ac:dyDescent="0.25">
      <c r="B42" s="45" t="s">
        <v>248</v>
      </c>
      <c r="C42" s="363">
        <f>INDEX(M21:M29,MATCH(D35,K21:K29,0))</f>
        <v>1.3451901522992755</v>
      </c>
      <c r="D42" s="363">
        <f>INDEX(M34:M42,MATCH(D35,K34:K42,0))</f>
        <v>0.6630454573041209</v>
      </c>
      <c r="E42" s="45"/>
      <c r="F42" s="45" t="s">
        <v>389</v>
      </c>
      <c r="G42" s="45"/>
      <c r="H42" s="45"/>
      <c r="I42" s="148"/>
      <c r="K42" s="139" t="s">
        <v>386</v>
      </c>
      <c r="L42" s="138">
        <v>0</v>
      </c>
      <c r="M42" s="138">
        <v>0</v>
      </c>
      <c r="N42" s="138">
        <f>AC32/AC35</f>
        <v>0.92448979591836733</v>
      </c>
      <c r="O42" s="138">
        <f>AC33/AC35</f>
        <v>6.1224489795918366E-2</v>
      </c>
      <c r="P42" s="138">
        <f>AC34/AC35</f>
        <v>1.4285714285714285E-2</v>
      </c>
      <c r="T42" s="220"/>
      <c r="Z42" s="135"/>
    </row>
    <row r="43" spans="2:30" ht="13.7" customHeight="1" x14ac:dyDescent="0.25">
      <c r="B43" s="45" t="s">
        <v>167</v>
      </c>
      <c r="C43" s="363">
        <f>INDEX(N21:N29,MATCH(D35,K21:K29,0))</f>
        <v>0.65778367177786989</v>
      </c>
      <c r="D43" s="363">
        <f>INDEX(N34:N42,MATCH(D35,K34:K42,0))</f>
        <v>0.18520766320729906</v>
      </c>
      <c r="E43" s="45"/>
      <c r="F43" s="45" t="s">
        <v>389</v>
      </c>
      <c r="G43" s="45"/>
      <c r="H43" s="45"/>
      <c r="I43" s="148"/>
      <c r="K43" s="364" t="s">
        <v>651</v>
      </c>
      <c r="L43" s="221"/>
      <c r="M43" s="221"/>
      <c r="N43" s="221"/>
      <c r="O43" s="221"/>
      <c r="P43" s="221"/>
      <c r="Q43" s="221"/>
      <c r="R43" s="221"/>
      <c r="S43" s="221"/>
      <c r="T43" s="223"/>
      <c r="Z43" s="135"/>
    </row>
    <row r="44" spans="2:30" ht="13.7" customHeight="1" x14ac:dyDescent="0.25">
      <c r="B44" s="45" t="s">
        <v>610</v>
      </c>
      <c r="C44" s="363">
        <f>INDEX(O21:O29,MATCH(D35,K21:K29,0))</f>
        <v>0</v>
      </c>
      <c r="D44" s="363">
        <f>INDEX(O34:O42,MATCH(D35,K34:K42,0))</f>
        <v>0</v>
      </c>
      <c r="E44" s="45"/>
      <c r="F44" s="45" t="s">
        <v>389</v>
      </c>
      <c r="G44" s="45"/>
      <c r="H44" s="45"/>
      <c r="I44" s="148"/>
      <c r="Z44" s="135"/>
    </row>
    <row r="45" spans="2:30" x14ac:dyDescent="0.25">
      <c r="B45" s="45" t="s">
        <v>249</v>
      </c>
      <c r="C45" s="363">
        <f>INDEX(P21:P29,MATCH(D35,K21:K29,0))</f>
        <v>0</v>
      </c>
      <c r="D45" s="363">
        <f>INDEX(P34:P42,MATCH(D35,K34:K42,0))</f>
        <v>0.15174687948858004</v>
      </c>
      <c r="E45" s="45"/>
      <c r="F45" s="45" t="s">
        <v>389</v>
      </c>
      <c r="G45" s="45"/>
      <c r="H45" s="45"/>
      <c r="I45" s="148"/>
      <c r="K45" s="367" t="s">
        <v>412</v>
      </c>
      <c r="L45" s="368" t="s">
        <v>413</v>
      </c>
      <c r="M45" s="368" t="s">
        <v>414</v>
      </c>
      <c r="N45" s="369" t="s">
        <v>604</v>
      </c>
      <c r="O45" s="370" t="s">
        <v>607</v>
      </c>
      <c r="Z45" s="135"/>
    </row>
    <row r="46" spans="2:30" ht="17.25" customHeight="1" x14ac:dyDescent="0.25">
      <c r="B46" s="45"/>
      <c r="C46" s="45"/>
      <c r="D46" s="45"/>
      <c r="E46" s="45"/>
      <c r="F46" s="45"/>
      <c r="G46" s="45"/>
      <c r="H46" s="45"/>
      <c r="I46" s="148"/>
      <c r="K46" s="371"/>
      <c r="L46" s="372"/>
      <c r="M46" s="372"/>
      <c r="N46" s="373" t="s">
        <v>605</v>
      </c>
      <c r="O46" s="374" t="s">
        <v>608</v>
      </c>
      <c r="Z46" s="135"/>
    </row>
    <row r="47" spans="2:30" ht="15.95" customHeight="1" x14ac:dyDescent="0.25">
      <c r="B47" s="45"/>
      <c r="C47" s="153" t="s">
        <v>393</v>
      </c>
      <c r="D47" s="153"/>
      <c r="E47" s="45"/>
      <c r="F47" s="45"/>
      <c r="G47" s="45"/>
      <c r="H47" s="45"/>
      <c r="I47" s="148"/>
      <c r="K47" s="375"/>
      <c r="L47" s="376"/>
      <c r="M47" s="376"/>
      <c r="N47" s="377" t="s">
        <v>606</v>
      </c>
      <c r="O47" s="378"/>
      <c r="Z47" s="135"/>
    </row>
    <row r="48" spans="2:30" x14ac:dyDescent="0.25">
      <c r="B48" s="45" t="s">
        <v>251</v>
      </c>
      <c r="C48" s="363">
        <f>C41*D41*$C$33*$C$37</f>
        <v>0</v>
      </c>
      <c r="D48" s="152"/>
      <c r="E48" s="45"/>
      <c r="F48" s="45" t="s">
        <v>394</v>
      </c>
      <c r="G48" s="45"/>
      <c r="H48" s="45"/>
      <c r="I48" s="148"/>
      <c r="K48" s="379" t="s">
        <v>211</v>
      </c>
      <c r="L48" s="380" t="s">
        <v>415</v>
      </c>
      <c r="M48" s="380" t="s">
        <v>416</v>
      </c>
      <c r="N48" s="380">
        <v>0</v>
      </c>
      <c r="O48" s="381">
        <v>53000</v>
      </c>
      <c r="Z48" s="135"/>
    </row>
    <row r="49" spans="2:26" x14ac:dyDescent="0.25">
      <c r="B49" s="45" t="s">
        <v>252</v>
      </c>
      <c r="C49" s="363">
        <f t="shared" ref="C49:C51" si="13">C42*D42*$C$33*$C$37</f>
        <v>3567.6888787690928</v>
      </c>
      <c r="D49" s="152"/>
      <c r="E49" s="45"/>
      <c r="F49" s="45" t="s">
        <v>394</v>
      </c>
      <c r="G49" s="45"/>
      <c r="H49" s="45"/>
      <c r="I49" s="148"/>
      <c r="K49" s="379" t="s">
        <v>211</v>
      </c>
      <c r="L49" s="380" t="s">
        <v>417</v>
      </c>
      <c r="M49" s="380" t="s">
        <v>416</v>
      </c>
      <c r="N49" s="380">
        <v>0</v>
      </c>
      <c r="O49" s="381">
        <v>106000</v>
      </c>
      <c r="Z49" s="135"/>
    </row>
    <row r="50" spans="2:26" x14ac:dyDescent="0.25">
      <c r="B50" s="45" t="s">
        <v>167</v>
      </c>
      <c r="C50" s="363">
        <f t="shared" si="13"/>
        <v>487.3063069835851</v>
      </c>
      <c r="D50" s="152"/>
      <c r="E50" s="45"/>
      <c r="F50" s="45" t="s">
        <v>394</v>
      </c>
      <c r="G50" s="45"/>
      <c r="H50" s="45"/>
      <c r="I50" s="148"/>
      <c r="K50" s="379" t="s">
        <v>211</v>
      </c>
      <c r="L50" s="380" t="s">
        <v>418</v>
      </c>
      <c r="M50" s="380" t="s">
        <v>419</v>
      </c>
      <c r="N50" s="380">
        <v>0.90500000000000003</v>
      </c>
      <c r="O50" s="381">
        <v>2720000</v>
      </c>
      <c r="Z50" s="135"/>
    </row>
    <row r="51" spans="2:26" x14ac:dyDescent="0.25">
      <c r="B51" s="45" t="s">
        <v>610</v>
      </c>
      <c r="C51" s="363">
        <f t="shared" si="13"/>
        <v>0</v>
      </c>
      <c r="D51" s="152"/>
      <c r="E51" s="45"/>
      <c r="F51" s="45" t="s">
        <v>394</v>
      </c>
      <c r="G51" s="45"/>
      <c r="H51" s="45"/>
      <c r="I51" s="148"/>
      <c r="K51" s="379" t="s">
        <v>211</v>
      </c>
      <c r="L51" s="380" t="s">
        <v>420</v>
      </c>
      <c r="M51" s="380" t="s">
        <v>421</v>
      </c>
      <c r="N51" s="380">
        <v>0</v>
      </c>
      <c r="O51" s="381">
        <v>240000</v>
      </c>
      <c r="Z51" s="135"/>
    </row>
    <row r="52" spans="2:26" x14ac:dyDescent="0.25">
      <c r="B52" s="45" t="s">
        <v>392</v>
      </c>
      <c r="C52" s="363">
        <f>C45*D45*$C$33*$C$37</f>
        <v>0</v>
      </c>
      <c r="D52" s="152"/>
      <c r="E52" s="45"/>
      <c r="F52" s="45" t="s">
        <v>394</v>
      </c>
      <c r="G52" s="45"/>
      <c r="H52" s="45"/>
      <c r="I52" s="148"/>
      <c r="K52" s="379" t="s">
        <v>211</v>
      </c>
      <c r="L52" s="380" t="s">
        <v>422</v>
      </c>
      <c r="M52" s="380" t="s">
        <v>423</v>
      </c>
      <c r="N52" s="380">
        <v>0</v>
      </c>
      <c r="O52" s="381">
        <v>80000</v>
      </c>
      <c r="Z52" s="135"/>
    </row>
    <row r="53" spans="2:26" x14ac:dyDescent="0.25">
      <c r="B53" s="45"/>
      <c r="C53" s="363"/>
      <c r="D53" s="152"/>
      <c r="E53" s="45"/>
      <c r="F53" s="45"/>
      <c r="G53" s="45"/>
      <c r="H53" s="45"/>
      <c r="I53" s="148"/>
      <c r="K53" s="379" t="s">
        <v>211</v>
      </c>
      <c r="L53" s="380" t="s">
        <v>424</v>
      </c>
      <c r="M53" s="380" t="s">
        <v>425</v>
      </c>
      <c r="N53" s="380">
        <v>0.57699999999999996</v>
      </c>
      <c r="O53" s="381">
        <v>664000</v>
      </c>
      <c r="Z53" s="135"/>
    </row>
    <row r="54" spans="2:26" x14ac:dyDescent="0.25">
      <c r="B54" s="46" t="s">
        <v>397</v>
      </c>
      <c r="C54" s="363">
        <f>SUM(C48:C52)</f>
        <v>4054.995185752678</v>
      </c>
      <c r="D54" s="152"/>
      <c r="E54" s="45"/>
      <c r="F54" s="45" t="s">
        <v>394</v>
      </c>
      <c r="G54" s="45"/>
      <c r="H54" s="45"/>
      <c r="I54" s="148"/>
      <c r="K54" s="379" t="s">
        <v>211</v>
      </c>
      <c r="L54" s="380" t="s">
        <v>426</v>
      </c>
      <c r="M54" s="380" t="s">
        <v>419</v>
      </c>
      <c r="N54" s="380">
        <v>0.91</v>
      </c>
      <c r="O54" s="381">
        <v>2880000</v>
      </c>
      <c r="Z54" s="135"/>
    </row>
    <row r="55" spans="2:26" x14ac:dyDescent="0.25">
      <c r="B55" s="46" t="s">
        <v>397</v>
      </c>
      <c r="C55" s="400">
        <f>C54*10^-3</f>
        <v>4.054995185752678</v>
      </c>
      <c r="D55" s="152"/>
      <c r="E55" s="45"/>
      <c r="F55" s="46" t="s">
        <v>250</v>
      </c>
      <c r="G55" s="45"/>
      <c r="H55" s="45"/>
      <c r="I55" s="148"/>
      <c r="K55" s="379" t="s">
        <v>211</v>
      </c>
      <c r="L55" s="380" t="s">
        <v>427</v>
      </c>
      <c r="M55" s="380" t="s">
        <v>428</v>
      </c>
      <c r="N55" s="380">
        <v>0</v>
      </c>
      <c r="O55" s="381">
        <v>47000</v>
      </c>
      <c r="Z55" s="135"/>
    </row>
    <row r="56" spans="2:26" x14ac:dyDescent="0.25">
      <c r="B56" s="45"/>
      <c r="C56" s="45"/>
      <c r="D56" s="45"/>
      <c r="E56" s="45"/>
      <c r="F56" s="45"/>
      <c r="G56" s="45"/>
      <c r="H56" s="45"/>
      <c r="I56" s="148"/>
      <c r="K56" s="379" t="s">
        <v>211</v>
      </c>
      <c r="L56" s="380" t="s">
        <v>429</v>
      </c>
      <c r="M56" s="380" t="s">
        <v>423</v>
      </c>
      <c r="N56" s="380">
        <v>0</v>
      </c>
      <c r="O56" s="381">
        <v>60000</v>
      </c>
      <c r="Z56" s="135"/>
    </row>
    <row r="57" spans="2:26" x14ac:dyDescent="0.25">
      <c r="B57" s="177" t="s">
        <v>268</v>
      </c>
      <c r="C57" s="362">
        <f>C55+C29+C15</f>
        <v>10.532419883752679</v>
      </c>
      <c r="D57" s="177"/>
      <c r="E57" s="179"/>
      <c r="F57" s="177" t="s">
        <v>267</v>
      </c>
      <c r="G57" s="177"/>
      <c r="H57" s="177"/>
      <c r="I57" s="180"/>
      <c r="K57" s="379" t="s">
        <v>211</v>
      </c>
      <c r="L57" s="380" t="s">
        <v>430</v>
      </c>
      <c r="M57" s="380" t="s">
        <v>423</v>
      </c>
      <c r="N57" s="380">
        <v>0</v>
      </c>
      <c r="O57" s="381">
        <v>29000</v>
      </c>
      <c r="Z57" s="135"/>
    </row>
    <row r="58" spans="2:26" ht="18.75" x14ac:dyDescent="0.3">
      <c r="B58" s="224" t="s">
        <v>244</v>
      </c>
      <c r="C58" s="46"/>
      <c r="D58" s="46"/>
      <c r="E58" s="154"/>
      <c r="F58" s="46"/>
      <c r="G58" s="46"/>
      <c r="H58" s="46"/>
      <c r="I58" s="149"/>
      <c r="K58" s="379" t="s">
        <v>211</v>
      </c>
      <c r="L58" s="380" t="s">
        <v>431</v>
      </c>
      <c r="M58" s="380" t="s">
        <v>432</v>
      </c>
      <c r="N58" s="380">
        <v>0.89600000000000002</v>
      </c>
      <c r="O58" s="381">
        <v>51000</v>
      </c>
      <c r="Z58" s="135"/>
    </row>
    <row r="59" spans="2:26" x14ac:dyDescent="0.25">
      <c r="B59" s="46" t="s">
        <v>132</v>
      </c>
      <c r="C59" s="46"/>
      <c r="D59" s="46"/>
      <c r="E59" s="154"/>
      <c r="F59" s="46"/>
      <c r="G59" s="46"/>
      <c r="H59" s="46"/>
      <c r="I59" s="149"/>
      <c r="K59" s="379" t="s">
        <v>211</v>
      </c>
      <c r="L59" s="380" t="s">
        <v>433</v>
      </c>
      <c r="M59" s="380" t="s">
        <v>419</v>
      </c>
      <c r="N59" s="380">
        <v>0.98799999999999999</v>
      </c>
      <c r="O59" s="381">
        <v>2100000</v>
      </c>
      <c r="Z59" s="135"/>
    </row>
    <row r="60" spans="2:26" x14ac:dyDescent="0.25">
      <c r="B60" s="45" t="s">
        <v>156</v>
      </c>
      <c r="C60" s="47">
        <f>'Data input'!C18*10^-3</f>
        <v>2.4007000000000001</v>
      </c>
      <c r="D60" s="46"/>
      <c r="E60" s="154"/>
      <c r="F60" s="401" t="s">
        <v>411</v>
      </c>
      <c r="G60" s="46"/>
      <c r="H60" s="46"/>
      <c r="I60" s="149"/>
      <c r="K60" s="379" t="s">
        <v>211</v>
      </c>
      <c r="L60" s="380" t="s">
        <v>434</v>
      </c>
      <c r="M60" s="380" t="s">
        <v>419</v>
      </c>
      <c r="N60" s="380">
        <v>0.85</v>
      </c>
      <c r="O60" s="381">
        <v>1340000</v>
      </c>
      <c r="Z60" s="135"/>
    </row>
    <row r="61" spans="2:26" x14ac:dyDescent="0.25">
      <c r="B61" s="45" t="s">
        <v>409</v>
      </c>
      <c r="C61" s="45">
        <f>C6</f>
        <v>38.6</v>
      </c>
      <c r="D61" s="46"/>
      <c r="E61" s="154"/>
      <c r="F61" s="401" t="s">
        <v>641</v>
      </c>
      <c r="G61" s="46"/>
      <c r="H61" s="46"/>
      <c r="I61" s="150" t="s">
        <v>398</v>
      </c>
      <c r="K61" s="379" t="s">
        <v>211</v>
      </c>
      <c r="L61" s="380" t="s">
        <v>435</v>
      </c>
      <c r="M61" s="380" t="s">
        <v>419</v>
      </c>
      <c r="N61" s="380">
        <v>1.0549999999999999</v>
      </c>
      <c r="O61" s="381">
        <v>600000</v>
      </c>
      <c r="Z61" s="135"/>
    </row>
    <row r="62" spans="2:26" x14ac:dyDescent="0.25">
      <c r="B62" s="45" t="s">
        <v>632</v>
      </c>
      <c r="C62" s="45">
        <v>0.1</v>
      </c>
      <c r="D62" s="46"/>
      <c r="E62" s="154"/>
      <c r="F62" s="401" t="s">
        <v>407</v>
      </c>
      <c r="G62" s="46"/>
      <c r="H62" s="46"/>
      <c r="I62" s="150" t="s">
        <v>398</v>
      </c>
      <c r="K62" s="379" t="s">
        <v>211</v>
      </c>
      <c r="L62" s="380" t="s">
        <v>436</v>
      </c>
      <c r="M62" s="380" t="s">
        <v>419</v>
      </c>
      <c r="N62" s="380">
        <v>1.1060000000000001</v>
      </c>
      <c r="O62" s="381">
        <v>150000</v>
      </c>
      <c r="Z62" s="135"/>
    </row>
    <row r="63" spans="2:26" x14ac:dyDescent="0.25">
      <c r="B63" s="45" t="s">
        <v>633</v>
      </c>
      <c r="C63" s="45">
        <v>0.2</v>
      </c>
      <c r="D63" s="46"/>
      <c r="E63" s="154"/>
      <c r="F63" s="401" t="s">
        <v>407</v>
      </c>
      <c r="G63" s="46"/>
      <c r="H63" s="46"/>
      <c r="I63" s="150" t="s">
        <v>398</v>
      </c>
      <c r="K63" s="379" t="s">
        <v>211</v>
      </c>
      <c r="L63" s="380" t="s">
        <v>437</v>
      </c>
      <c r="M63" s="380" t="s">
        <v>423</v>
      </c>
      <c r="N63" s="380">
        <v>0</v>
      </c>
      <c r="O63" s="381">
        <v>240000</v>
      </c>
      <c r="Z63" s="135"/>
    </row>
    <row r="64" spans="2:26" x14ac:dyDescent="0.25">
      <c r="B64" s="46"/>
      <c r="C64" s="46"/>
      <c r="D64" s="46"/>
      <c r="E64" s="154"/>
      <c r="F64" s="403"/>
      <c r="G64" s="46"/>
      <c r="H64" s="46"/>
      <c r="I64" s="149"/>
      <c r="K64" s="379" t="s">
        <v>211</v>
      </c>
      <c r="L64" s="380" t="s">
        <v>438</v>
      </c>
      <c r="M64" s="380" t="s">
        <v>425</v>
      </c>
      <c r="N64" s="380">
        <v>0.45</v>
      </c>
      <c r="O64" s="381">
        <v>176000</v>
      </c>
      <c r="Z64" s="135"/>
    </row>
    <row r="65" spans="2:26" x14ac:dyDescent="0.25">
      <c r="B65" s="46" t="s">
        <v>269</v>
      </c>
      <c r="C65" s="46" t="s">
        <v>400</v>
      </c>
      <c r="D65" s="45"/>
      <c r="E65" s="45"/>
      <c r="F65" s="401"/>
      <c r="G65" s="45"/>
      <c r="H65" s="46"/>
      <c r="I65" s="150" t="s">
        <v>399</v>
      </c>
      <c r="K65" s="379" t="s">
        <v>211</v>
      </c>
      <c r="L65" s="380" t="s">
        <v>439</v>
      </c>
      <c r="M65" s="380" t="s">
        <v>425</v>
      </c>
      <c r="N65" s="380">
        <v>0.36899999999999999</v>
      </c>
      <c r="O65" s="381">
        <v>430000</v>
      </c>
      <c r="Z65" s="135"/>
    </row>
    <row r="66" spans="2:26" x14ac:dyDescent="0.25">
      <c r="B66" s="46"/>
      <c r="C66" s="45" t="s">
        <v>401</v>
      </c>
      <c r="D66" s="45"/>
      <c r="E66" s="45"/>
      <c r="F66" s="401" t="s">
        <v>644</v>
      </c>
      <c r="G66" s="45"/>
      <c r="H66" s="46"/>
      <c r="I66" s="149"/>
      <c r="K66" s="379" t="s">
        <v>211</v>
      </c>
      <c r="L66" s="380" t="s">
        <v>440</v>
      </c>
      <c r="M66" s="380" t="s">
        <v>423</v>
      </c>
      <c r="N66" s="380">
        <v>0</v>
      </c>
      <c r="O66" s="381">
        <v>616000</v>
      </c>
      <c r="Z66" s="135"/>
    </row>
    <row r="67" spans="2:26" x14ac:dyDescent="0.25">
      <c r="B67" s="46"/>
      <c r="C67" s="45" t="s">
        <v>403</v>
      </c>
      <c r="D67" s="45"/>
      <c r="E67" s="45"/>
      <c r="F67" s="401" t="s">
        <v>411</v>
      </c>
      <c r="G67" s="45"/>
      <c r="H67" s="46"/>
      <c r="I67" s="149"/>
      <c r="K67" s="379" t="s">
        <v>211</v>
      </c>
      <c r="L67" s="380" t="s">
        <v>441</v>
      </c>
      <c r="M67" s="380" t="s">
        <v>423</v>
      </c>
      <c r="N67" s="380">
        <v>0</v>
      </c>
      <c r="O67" s="381">
        <v>1500000</v>
      </c>
      <c r="Z67" s="135"/>
    </row>
    <row r="68" spans="2:26" x14ac:dyDescent="0.25">
      <c r="B68" s="46"/>
      <c r="C68" s="45" t="s">
        <v>406</v>
      </c>
      <c r="D68" s="45"/>
      <c r="E68" s="45"/>
      <c r="F68" s="401" t="s">
        <v>643</v>
      </c>
      <c r="G68" s="45"/>
      <c r="H68" s="46"/>
      <c r="I68" s="149"/>
      <c r="K68" s="379" t="s">
        <v>211</v>
      </c>
      <c r="L68" s="380" t="s">
        <v>442</v>
      </c>
      <c r="M68" s="380" t="s">
        <v>421</v>
      </c>
      <c r="N68" s="380">
        <v>0</v>
      </c>
      <c r="O68" s="381">
        <v>400000</v>
      </c>
      <c r="Z68" s="135"/>
    </row>
    <row r="69" spans="2:26" x14ac:dyDescent="0.25">
      <c r="B69" s="46"/>
      <c r="C69" s="45" t="s">
        <v>408</v>
      </c>
      <c r="D69" s="45"/>
      <c r="E69" s="45"/>
      <c r="F69" s="401" t="s">
        <v>407</v>
      </c>
      <c r="G69" s="45"/>
      <c r="H69" s="46"/>
      <c r="I69" s="149"/>
      <c r="K69" s="379" t="s">
        <v>211</v>
      </c>
      <c r="L69" s="380" t="s">
        <v>443</v>
      </c>
      <c r="M69" s="380" t="s">
        <v>425</v>
      </c>
      <c r="N69" s="380">
        <v>0.57699999999999996</v>
      </c>
      <c r="O69" s="381">
        <v>664000</v>
      </c>
      <c r="Z69" s="135"/>
    </row>
    <row r="70" spans="2:26" x14ac:dyDescent="0.25">
      <c r="B70" s="46"/>
      <c r="C70" s="46"/>
      <c r="D70" s="46"/>
      <c r="E70" s="154"/>
      <c r="F70" s="403"/>
      <c r="G70" s="46"/>
      <c r="H70" s="46"/>
      <c r="I70" s="149"/>
      <c r="K70" s="379" t="s">
        <v>211</v>
      </c>
      <c r="L70" s="380" t="s">
        <v>444</v>
      </c>
      <c r="M70" s="380" t="s">
        <v>419</v>
      </c>
      <c r="N70" s="380">
        <v>0.91300000000000003</v>
      </c>
      <c r="O70" s="381">
        <v>1320000</v>
      </c>
      <c r="Z70" s="135"/>
    </row>
    <row r="71" spans="2:26" x14ac:dyDescent="0.25">
      <c r="B71" s="46" t="s">
        <v>634</v>
      </c>
      <c r="C71" s="402">
        <f>(C60*C61*C62)*10^-3</f>
        <v>9.2667019999999999E-3</v>
      </c>
      <c r="D71" s="46"/>
      <c r="E71" s="154"/>
      <c r="F71" s="401" t="s">
        <v>271</v>
      </c>
      <c r="G71" s="46"/>
      <c r="H71" s="46"/>
      <c r="I71" s="149"/>
      <c r="K71" s="379" t="s">
        <v>211</v>
      </c>
      <c r="L71" s="380" t="s">
        <v>445</v>
      </c>
      <c r="M71" s="380" t="s">
        <v>419</v>
      </c>
      <c r="N71" s="380">
        <v>0.95099999999999996</v>
      </c>
      <c r="O71" s="381">
        <v>960000</v>
      </c>
      <c r="Z71" s="135"/>
    </row>
    <row r="72" spans="2:26" x14ac:dyDescent="0.25">
      <c r="B72" s="46" t="s">
        <v>635</v>
      </c>
      <c r="C72" s="402">
        <f>(C60*C61*C63)*10^-3</f>
        <v>1.8533404E-2</v>
      </c>
      <c r="D72" s="46"/>
      <c r="E72" s="154"/>
      <c r="F72" s="401" t="s">
        <v>271</v>
      </c>
      <c r="G72" s="46"/>
      <c r="H72" s="46"/>
      <c r="I72" s="149"/>
      <c r="K72" s="379" t="s">
        <v>211</v>
      </c>
      <c r="L72" s="380" t="s">
        <v>446</v>
      </c>
      <c r="M72" s="380" t="s">
        <v>428</v>
      </c>
      <c r="N72" s="380">
        <v>0</v>
      </c>
      <c r="O72" s="381">
        <v>48000</v>
      </c>
      <c r="Z72" s="135"/>
    </row>
    <row r="73" spans="2:26" x14ac:dyDescent="0.25">
      <c r="B73" s="46"/>
      <c r="C73" s="46"/>
      <c r="D73" s="46"/>
      <c r="E73" s="154"/>
      <c r="F73" s="403"/>
      <c r="G73" s="46"/>
      <c r="H73" s="46"/>
      <c r="I73" s="149"/>
      <c r="K73" s="379" t="s">
        <v>213</v>
      </c>
      <c r="L73" s="380" t="s">
        <v>447</v>
      </c>
      <c r="M73" s="380" t="s">
        <v>425</v>
      </c>
      <c r="N73" s="380">
        <v>0.46200000000000002</v>
      </c>
      <c r="O73" s="381">
        <v>55000</v>
      </c>
      <c r="Z73" s="135"/>
    </row>
    <row r="74" spans="2:26" ht="18.75" x14ac:dyDescent="0.3">
      <c r="B74" s="157" t="s">
        <v>167</v>
      </c>
      <c r="C74" s="46"/>
      <c r="D74" s="46"/>
      <c r="E74" s="154"/>
      <c r="F74" s="403"/>
      <c r="G74" s="46"/>
      <c r="H74" s="46"/>
      <c r="I74" s="149"/>
      <c r="K74" s="379" t="s">
        <v>213</v>
      </c>
      <c r="L74" s="380" t="s">
        <v>448</v>
      </c>
      <c r="M74" s="380" t="s">
        <v>423</v>
      </c>
      <c r="N74" s="380">
        <v>0</v>
      </c>
      <c r="O74" s="381">
        <v>60000</v>
      </c>
      <c r="U74" s="135"/>
      <c r="V74" s="135"/>
      <c r="W74" s="135"/>
      <c r="X74" s="135"/>
      <c r="Y74" s="135"/>
      <c r="Z74" s="135"/>
    </row>
    <row r="75" spans="2:26" x14ac:dyDescent="0.25">
      <c r="B75" s="46" t="s">
        <v>132</v>
      </c>
      <c r="C75" s="46"/>
      <c r="D75" s="46"/>
      <c r="E75" s="154"/>
      <c r="F75" s="403"/>
      <c r="G75" s="46"/>
      <c r="H75" s="46"/>
      <c r="I75" s="149"/>
      <c r="K75" s="379" t="s">
        <v>213</v>
      </c>
      <c r="L75" s="380" t="s">
        <v>449</v>
      </c>
      <c r="M75" s="380" t="s">
        <v>425</v>
      </c>
      <c r="N75" s="380">
        <v>0.61599999999999999</v>
      </c>
      <c r="O75" s="381">
        <v>504000</v>
      </c>
    </row>
    <row r="76" spans="2:26" x14ac:dyDescent="0.25">
      <c r="B76" s="45" t="s">
        <v>636</v>
      </c>
      <c r="C76" s="47">
        <f>'Data input'!C19*10^-3</f>
        <v>0</v>
      </c>
      <c r="D76" s="46"/>
      <c r="E76" s="154"/>
      <c r="F76" s="401" t="s">
        <v>411</v>
      </c>
      <c r="G76" s="46"/>
      <c r="H76" s="46"/>
      <c r="I76" s="150"/>
      <c r="K76" s="379" t="s">
        <v>213</v>
      </c>
      <c r="L76" s="380" t="s">
        <v>450</v>
      </c>
      <c r="M76" s="380" t="s">
        <v>425</v>
      </c>
      <c r="N76" s="380">
        <v>0.61599999999999999</v>
      </c>
      <c r="O76" s="381">
        <v>459000</v>
      </c>
    </row>
    <row r="77" spans="2:26" x14ac:dyDescent="0.25">
      <c r="B77" s="45" t="s">
        <v>409</v>
      </c>
      <c r="C77" s="45">
        <f>C20</f>
        <v>25.7</v>
      </c>
      <c r="D77" s="46"/>
      <c r="E77" s="154"/>
      <c r="F77" s="401" t="s">
        <v>641</v>
      </c>
      <c r="G77" s="46"/>
      <c r="H77" s="46"/>
      <c r="I77" s="150" t="s">
        <v>398</v>
      </c>
      <c r="K77" s="379" t="s">
        <v>213</v>
      </c>
      <c r="L77" s="380" t="s">
        <v>451</v>
      </c>
      <c r="M77" s="380" t="s">
        <v>419</v>
      </c>
      <c r="N77" s="380">
        <v>0.92700000000000005</v>
      </c>
      <c r="O77" s="381">
        <v>700000</v>
      </c>
      <c r="Q77" s="135"/>
      <c r="R77" s="135"/>
      <c r="S77" s="135"/>
      <c r="T77" s="135"/>
    </row>
    <row r="78" spans="2:26" x14ac:dyDescent="0.25">
      <c r="B78" s="45" t="s">
        <v>637</v>
      </c>
      <c r="C78" s="45">
        <v>0.2</v>
      </c>
      <c r="D78" s="46"/>
      <c r="E78" s="154"/>
      <c r="F78" s="401" t="s">
        <v>407</v>
      </c>
      <c r="G78" s="46"/>
      <c r="H78" s="46"/>
      <c r="I78" s="150" t="s">
        <v>398</v>
      </c>
      <c r="K78" s="379" t="s">
        <v>213</v>
      </c>
      <c r="L78" s="380" t="s">
        <v>452</v>
      </c>
      <c r="M78" s="380" t="s">
        <v>419</v>
      </c>
      <c r="N78" s="380">
        <v>0.93700000000000006</v>
      </c>
      <c r="O78" s="381">
        <v>810000</v>
      </c>
      <c r="Q78" s="135"/>
    </row>
    <row r="79" spans="2:26" x14ac:dyDescent="0.25">
      <c r="B79" s="45" t="s">
        <v>638</v>
      </c>
      <c r="C79" s="45">
        <v>0.2</v>
      </c>
      <c r="D79" s="46"/>
      <c r="E79" s="154"/>
      <c r="F79" s="401" t="s">
        <v>407</v>
      </c>
      <c r="G79" s="46"/>
      <c r="H79" s="46"/>
      <c r="I79" s="150" t="s">
        <v>398</v>
      </c>
      <c r="K79" s="379" t="s">
        <v>213</v>
      </c>
      <c r="L79" s="380" t="s">
        <v>453</v>
      </c>
      <c r="M79" s="380" t="s">
        <v>419</v>
      </c>
      <c r="N79" s="380">
        <v>1.1619999999999999</v>
      </c>
      <c r="O79" s="381">
        <v>190000</v>
      </c>
      <c r="Q79" s="135"/>
    </row>
    <row r="80" spans="2:26" x14ac:dyDescent="0.25">
      <c r="B80" s="46"/>
      <c r="C80" s="46"/>
      <c r="D80" s="46"/>
      <c r="E80" s="154"/>
      <c r="F80" s="403"/>
      <c r="G80" s="46"/>
      <c r="H80" s="46"/>
      <c r="I80" s="149"/>
      <c r="K80" s="379" t="s">
        <v>213</v>
      </c>
      <c r="L80" s="380" t="s">
        <v>454</v>
      </c>
      <c r="M80" s="380" t="s">
        <v>425</v>
      </c>
      <c r="N80" s="380">
        <v>0.38500000000000001</v>
      </c>
      <c r="O80" s="381">
        <v>140000</v>
      </c>
      <c r="Q80" s="135"/>
    </row>
    <row r="81" spans="2:17" x14ac:dyDescent="0.25">
      <c r="B81" s="46" t="s">
        <v>270</v>
      </c>
      <c r="C81" s="46" t="s">
        <v>400</v>
      </c>
      <c r="D81" s="46"/>
      <c r="E81" s="154"/>
      <c r="F81" s="403"/>
      <c r="G81" s="46"/>
      <c r="H81" s="46"/>
      <c r="I81" s="150" t="s">
        <v>399</v>
      </c>
      <c r="K81" s="379" t="s">
        <v>213</v>
      </c>
      <c r="L81" s="380" t="s">
        <v>455</v>
      </c>
      <c r="M81" s="380" t="s">
        <v>425</v>
      </c>
      <c r="N81" s="380">
        <v>0.40100000000000002</v>
      </c>
      <c r="O81" s="381">
        <v>630000</v>
      </c>
      <c r="Q81" s="135"/>
    </row>
    <row r="82" spans="2:17" x14ac:dyDescent="0.25">
      <c r="B82" s="45"/>
      <c r="C82" s="45" t="s">
        <v>401</v>
      </c>
      <c r="D82" s="45"/>
      <c r="E82" s="47"/>
      <c r="F82" s="401" t="s">
        <v>644</v>
      </c>
      <c r="G82" s="46"/>
      <c r="H82" s="46"/>
      <c r="I82" s="149"/>
      <c r="K82" s="379" t="s">
        <v>213</v>
      </c>
      <c r="L82" s="380" t="s">
        <v>456</v>
      </c>
      <c r="M82" s="380" t="s">
        <v>419</v>
      </c>
      <c r="N82" s="380">
        <v>0.94199999999999995</v>
      </c>
      <c r="O82" s="381">
        <v>1680000</v>
      </c>
      <c r="Q82" s="135"/>
    </row>
    <row r="83" spans="2:17" x14ac:dyDescent="0.25">
      <c r="B83" s="45"/>
      <c r="C83" s="45" t="s">
        <v>403</v>
      </c>
      <c r="D83" s="45"/>
      <c r="E83" s="47"/>
      <c r="F83" s="401" t="s">
        <v>411</v>
      </c>
      <c r="G83" s="46"/>
      <c r="H83" s="46"/>
      <c r="I83" s="149"/>
      <c r="K83" s="379" t="s">
        <v>213</v>
      </c>
      <c r="L83" s="380" t="s">
        <v>457</v>
      </c>
      <c r="M83" s="380" t="s">
        <v>423</v>
      </c>
      <c r="N83" s="380">
        <v>0</v>
      </c>
      <c r="O83" s="381">
        <v>81000</v>
      </c>
      <c r="Q83" s="135"/>
    </row>
    <row r="84" spans="2:17" x14ac:dyDescent="0.25">
      <c r="B84" s="46"/>
      <c r="C84" s="45" t="s">
        <v>406</v>
      </c>
      <c r="D84" s="45"/>
      <c r="E84" s="47"/>
      <c r="F84" s="401" t="s">
        <v>643</v>
      </c>
      <c r="G84" s="46"/>
      <c r="H84" s="46"/>
      <c r="I84" s="149"/>
      <c r="K84" s="379" t="s">
        <v>213</v>
      </c>
      <c r="L84" s="380" t="s">
        <v>458</v>
      </c>
      <c r="M84" s="380" t="s">
        <v>419</v>
      </c>
      <c r="N84" s="380">
        <v>0.90200000000000002</v>
      </c>
      <c r="O84" s="381">
        <v>750000</v>
      </c>
      <c r="Q84" s="135"/>
    </row>
    <row r="85" spans="2:17" x14ac:dyDescent="0.25">
      <c r="B85" s="45"/>
      <c r="C85" s="45" t="s">
        <v>408</v>
      </c>
      <c r="D85" s="46"/>
      <c r="E85" s="47"/>
      <c r="F85" s="401" t="s">
        <v>407</v>
      </c>
      <c r="G85" s="46"/>
      <c r="H85" s="46"/>
      <c r="I85" s="149"/>
      <c r="K85" s="379" t="s">
        <v>213</v>
      </c>
      <c r="L85" s="380" t="s">
        <v>459</v>
      </c>
      <c r="M85" s="380" t="s">
        <v>432</v>
      </c>
      <c r="N85" s="380">
        <v>0.89600000000000002</v>
      </c>
      <c r="O85" s="381">
        <v>34000</v>
      </c>
      <c r="Q85" s="135"/>
    </row>
    <row r="86" spans="2:17" x14ac:dyDescent="0.25">
      <c r="B86" s="46"/>
      <c r="C86" s="154"/>
      <c r="D86" s="46"/>
      <c r="E86" s="154"/>
      <c r="F86" s="403"/>
      <c r="G86" s="46"/>
      <c r="H86" s="46"/>
      <c r="I86" s="149"/>
      <c r="K86" s="379" t="s">
        <v>213</v>
      </c>
      <c r="L86" s="380" t="s">
        <v>460</v>
      </c>
      <c r="M86" s="380" t="s">
        <v>419</v>
      </c>
      <c r="N86" s="380">
        <v>0.89800000000000002</v>
      </c>
      <c r="O86" s="381">
        <v>851000</v>
      </c>
    </row>
    <row r="87" spans="2:17" x14ac:dyDescent="0.25">
      <c r="B87" s="46" t="s">
        <v>639</v>
      </c>
      <c r="C87" s="47">
        <f>(C76*C77*C78)*10^-3</f>
        <v>0</v>
      </c>
      <c r="D87" s="46"/>
      <c r="E87" s="154"/>
      <c r="F87" s="401" t="s">
        <v>83</v>
      </c>
      <c r="G87" s="46"/>
      <c r="H87" s="46"/>
      <c r="I87" s="149"/>
      <c r="K87" s="379" t="s">
        <v>213</v>
      </c>
      <c r="L87" s="380" t="s">
        <v>461</v>
      </c>
      <c r="M87" s="380" t="s">
        <v>432</v>
      </c>
      <c r="N87" s="380">
        <v>0.83599999999999997</v>
      </c>
      <c r="O87" s="381">
        <v>418000</v>
      </c>
    </row>
    <row r="88" spans="2:17" x14ac:dyDescent="0.25">
      <c r="B88" s="46" t="s">
        <v>640</v>
      </c>
      <c r="C88" s="47">
        <f>(C76*C77*C79)*10^-3</f>
        <v>0</v>
      </c>
      <c r="D88" s="45"/>
      <c r="E88" s="47"/>
      <c r="F88" s="401" t="s">
        <v>83</v>
      </c>
      <c r="G88" s="46"/>
      <c r="H88" s="46"/>
      <c r="I88" s="149"/>
      <c r="K88" s="379" t="s">
        <v>213</v>
      </c>
      <c r="L88" s="380" t="s">
        <v>462</v>
      </c>
      <c r="M88" s="380" t="s">
        <v>425</v>
      </c>
      <c r="N88" s="380">
        <v>0.56699999999999995</v>
      </c>
      <c r="O88" s="381">
        <v>282000</v>
      </c>
    </row>
    <row r="89" spans="2:17" x14ac:dyDescent="0.25">
      <c r="B89" s="46"/>
      <c r="C89" s="154"/>
      <c r="D89" s="46"/>
      <c r="E89" s="154"/>
      <c r="F89" s="403"/>
      <c r="G89" s="46"/>
      <c r="H89" s="46"/>
      <c r="I89" s="149"/>
      <c r="K89" s="379" t="s">
        <v>213</v>
      </c>
      <c r="L89" s="380" t="s">
        <v>463</v>
      </c>
      <c r="M89" s="380" t="s">
        <v>425</v>
      </c>
      <c r="N89" s="380">
        <v>0.61599999999999999</v>
      </c>
      <c r="O89" s="381">
        <v>80000</v>
      </c>
    </row>
    <row r="90" spans="2:17" x14ac:dyDescent="0.25">
      <c r="B90" s="46" t="s">
        <v>272</v>
      </c>
      <c r="C90" s="154">
        <f>C87+C71</f>
        <v>9.2667019999999999E-3</v>
      </c>
      <c r="D90" s="155"/>
      <c r="E90" s="154"/>
      <c r="F90" s="403" t="s">
        <v>83</v>
      </c>
      <c r="G90" s="46"/>
      <c r="H90" s="46"/>
      <c r="I90" s="149"/>
      <c r="K90" s="379" t="s">
        <v>213</v>
      </c>
      <c r="L90" s="380" t="s">
        <v>464</v>
      </c>
      <c r="M90" s="380" t="s">
        <v>419</v>
      </c>
      <c r="N90" s="380">
        <v>0.89400000000000002</v>
      </c>
      <c r="O90" s="381">
        <v>1440000</v>
      </c>
    </row>
    <row r="91" spans="2:17" x14ac:dyDescent="0.25">
      <c r="B91" s="177" t="s">
        <v>273</v>
      </c>
      <c r="C91" s="362">
        <f>C88+C72</f>
        <v>1.8533404E-2</v>
      </c>
      <c r="D91" s="179"/>
      <c r="E91" s="178"/>
      <c r="F91" s="404" t="s">
        <v>83</v>
      </c>
      <c r="G91" s="178"/>
      <c r="H91" s="178"/>
      <c r="I91" s="180"/>
      <c r="K91" s="379" t="s">
        <v>213</v>
      </c>
      <c r="L91" s="380" t="s">
        <v>465</v>
      </c>
      <c r="M91" s="380" t="s">
        <v>419</v>
      </c>
      <c r="N91" s="380">
        <v>1.0669999999999999</v>
      </c>
      <c r="O91" s="381">
        <v>480000</v>
      </c>
    </row>
    <row r="92" spans="2:17" x14ac:dyDescent="0.25">
      <c r="K92" s="379" t="s">
        <v>213</v>
      </c>
      <c r="L92" s="380" t="s">
        <v>466</v>
      </c>
      <c r="M92" s="380" t="s">
        <v>425</v>
      </c>
      <c r="N92" s="380">
        <v>0.39300000000000002</v>
      </c>
      <c r="O92" s="381">
        <v>385000</v>
      </c>
    </row>
    <row r="93" spans="2:17" x14ac:dyDescent="0.25">
      <c r="B93" s="156" t="s">
        <v>645</v>
      </c>
      <c r="K93" s="379" t="s">
        <v>213</v>
      </c>
      <c r="L93" s="380" t="s">
        <v>467</v>
      </c>
      <c r="M93" s="380" t="s">
        <v>419</v>
      </c>
      <c r="N93" s="380">
        <v>0.91600000000000004</v>
      </c>
      <c r="O93" s="381">
        <v>1400000</v>
      </c>
    </row>
    <row r="94" spans="2:17" x14ac:dyDescent="0.25">
      <c r="B94" s="17" t="s">
        <v>652</v>
      </c>
      <c r="K94" s="379" t="s">
        <v>213</v>
      </c>
      <c r="L94" s="380" t="s">
        <v>468</v>
      </c>
      <c r="M94" s="380" t="s">
        <v>419</v>
      </c>
      <c r="N94" s="380">
        <v>0.84599999999999997</v>
      </c>
      <c r="O94" s="381">
        <v>443000</v>
      </c>
    </row>
    <row r="95" spans="2:17" x14ac:dyDescent="0.25">
      <c r="B95" s="17" t="s">
        <v>653</v>
      </c>
      <c r="K95" s="379" t="s">
        <v>213</v>
      </c>
      <c r="L95" s="380" t="s">
        <v>469</v>
      </c>
      <c r="M95" s="380" t="s">
        <v>425</v>
      </c>
      <c r="N95" s="380">
        <v>0.40100000000000002</v>
      </c>
      <c r="O95" s="381">
        <v>240000</v>
      </c>
    </row>
    <row r="96" spans="2:17" x14ac:dyDescent="0.25">
      <c r="B96" s="17" t="s">
        <v>646</v>
      </c>
      <c r="K96" s="379" t="s">
        <v>213</v>
      </c>
      <c r="L96" s="380" t="s">
        <v>470</v>
      </c>
      <c r="M96" s="380" t="s">
        <v>423</v>
      </c>
      <c r="N96" s="380">
        <v>0</v>
      </c>
      <c r="O96" s="381">
        <v>500000</v>
      </c>
    </row>
    <row r="97" spans="2:15" x14ac:dyDescent="0.25">
      <c r="B97" s="17" t="s">
        <v>647</v>
      </c>
      <c r="K97" s="379" t="s">
        <v>213</v>
      </c>
      <c r="L97" s="380" t="s">
        <v>471</v>
      </c>
      <c r="M97" s="380" t="s">
        <v>421</v>
      </c>
      <c r="N97" s="380">
        <v>0</v>
      </c>
      <c r="O97" s="381">
        <v>480000</v>
      </c>
    </row>
    <row r="98" spans="2:15" x14ac:dyDescent="0.25">
      <c r="K98" s="379" t="s">
        <v>213</v>
      </c>
      <c r="L98" s="380" t="s">
        <v>472</v>
      </c>
      <c r="M98" s="380" t="s">
        <v>425</v>
      </c>
      <c r="N98" s="380">
        <v>0.54300000000000004</v>
      </c>
      <c r="O98" s="381">
        <v>168000</v>
      </c>
    </row>
    <row r="99" spans="2:15" x14ac:dyDescent="0.25">
      <c r="K99" s="379" t="s">
        <v>198</v>
      </c>
      <c r="L99" s="380" t="s">
        <v>473</v>
      </c>
      <c r="M99" s="380" t="s">
        <v>432</v>
      </c>
      <c r="N99" s="380">
        <v>0.94</v>
      </c>
      <c r="O99" s="381">
        <v>50000</v>
      </c>
    </row>
    <row r="100" spans="2:15" x14ac:dyDescent="0.25">
      <c r="K100" s="379" t="s">
        <v>198</v>
      </c>
      <c r="L100" s="380" t="s">
        <v>474</v>
      </c>
      <c r="M100" s="380" t="s">
        <v>428</v>
      </c>
      <c r="N100" s="380">
        <v>0</v>
      </c>
      <c r="O100" s="381">
        <v>53000</v>
      </c>
    </row>
    <row r="101" spans="2:15" x14ac:dyDescent="0.25">
      <c r="K101" s="379" t="s">
        <v>198</v>
      </c>
      <c r="L101" s="380" t="s">
        <v>475</v>
      </c>
      <c r="M101" s="380" t="s">
        <v>428</v>
      </c>
      <c r="N101" s="380">
        <v>0</v>
      </c>
      <c r="O101" s="381">
        <v>57000</v>
      </c>
    </row>
    <row r="102" spans="2:15" x14ac:dyDescent="0.25">
      <c r="K102" s="379" t="s">
        <v>198</v>
      </c>
      <c r="L102" s="380" t="s">
        <v>476</v>
      </c>
      <c r="M102" s="380" t="s">
        <v>425</v>
      </c>
      <c r="N102" s="380">
        <v>0.71</v>
      </c>
      <c r="O102" s="381">
        <v>156000</v>
      </c>
    </row>
    <row r="103" spans="2:15" x14ac:dyDescent="0.25">
      <c r="K103" s="379" t="s">
        <v>198</v>
      </c>
      <c r="L103" s="380" t="s">
        <v>477</v>
      </c>
      <c r="M103" s="380" t="s">
        <v>425</v>
      </c>
      <c r="N103" s="380">
        <v>0.77</v>
      </c>
      <c r="O103" s="381">
        <v>200000</v>
      </c>
    </row>
    <row r="104" spans="2:15" x14ac:dyDescent="0.25">
      <c r="K104" s="379" t="s">
        <v>198</v>
      </c>
      <c r="L104" s="380" t="s">
        <v>478</v>
      </c>
      <c r="M104" s="380" t="s">
        <v>428</v>
      </c>
      <c r="N104" s="380">
        <v>0</v>
      </c>
      <c r="O104" s="381">
        <v>71000</v>
      </c>
    </row>
    <row r="105" spans="2:15" x14ac:dyDescent="0.25">
      <c r="K105" s="379" t="s">
        <v>198</v>
      </c>
      <c r="L105" s="380" t="s">
        <v>479</v>
      </c>
      <c r="M105" s="380" t="s">
        <v>428</v>
      </c>
      <c r="N105" s="380">
        <v>0</v>
      </c>
      <c r="O105" s="381">
        <v>95000</v>
      </c>
    </row>
    <row r="106" spans="2:15" x14ac:dyDescent="0.25">
      <c r="K106" s="379" t="s">
        <v>198</v>
      </c>
      <c r="L106" s="380" t="s">
        <v>480</v>
      </c>
      <c r="M106" s="380" t="s">
        <v>425</v>
      </c>
      <c r="N106" s="380">
        <v>0.61599999999999999</v>
      </c>
      <c r="O106" s="381">
        <v>80000</v>
      </c>
    </row>
    <row r="107" spans="2:15" x14ac:dyDescent="0.25">
      <c r="K107" s="379" t="s">
        <v>198</v>
      </c>
      <c r="L107" s="380" t="s">
        <v>481</v>
      </c>
      <c r="M107" s="380" t="s">
        <v>428</v>
      </c>
      <c r="N107" s="380">
        <v>0</v>
      </c>
      <c r="O107" s="381">
        <v>159000</v>
      </c>
    </row>
    <row r="108" spans="2:15" x14ac:dyDescent="0.25">
      <c r="K108" s="379" t="s">
        <v>198</v>
      </c>
      <c r="L108" s="380" t="s">
        <v>482</v>
      </c>
      <c r="M108" s="380" t="s">
        <v>428</v>
      </c>
      <c r="N108" s="380">
        <v>0</v>
      </c>
      <c r="O108" s="381">
        <v>39000</v>
      </c>
    </row>
    <row r="109" spans="2:15" x14ac:dyDescent="0.25">
      <c r="K109" s="379" t="s">
        <v>198</v>
      </c>
      <c r="L109" s="380" t="s">
        <v>483</v>
      </c>
      <c r="M109" s="380" t="s">
        <v>425</v>
      </c>
      <c r="N109" s="380">
        <v>0.66</v>
      </c>
      <c r="O109" s="381">
        <v>90000</v>
      </c>
    </row>
    <row r="110" spans="2:15" x14ac:dyDescent="0.25">
      <c r="K110" s="379" t="s">
        <v>198</v>
      </c>
      <c r="L110" s="380" t="s">
        <v>484</v>
      </c>
      <c r="M110" s="380" t="s">
        <v>428</v>
      </c>
      <c r="N110" s="380">
        <v>0</v>
      </c>
      <c r="O110" s="381">
        <v>132000</v>
      </c>
    </row>
    <row r="111" spans="2:15" x14ac:dyDescent="0.25">
      <c r="K111" s="379" t="s">
        <v>198</v>
      </c>
      <c r="L111" s="380" t="s">
        <v>485</v>
      </c>
      <c r="M111" s="380" t="s">
        <v>486</v>
      </c>
      <c r="N111" s="380">
        <v>0.93899999999999995</v>
      </c>
      <c r="O111" s="381">
        <v>530000</v>
      </c>
    </row>
    <row r="112" spans="2:15" x14ac:dyDescent="0.25">
      <c r="K112" s="379" t="s">
        <v>198</v>
      </c>
      <c r="L112" s="380" t="s">
        <v>487</v>
      </c>
      <c r="M112" s="380" t="s">
        <v>425</v>
      </c>
      <c r="N112" s="380">
        <v>0.44</v>
      </c>
      <c r="O112" s="381">
        <v>180000</v>
      </c>
    </row>
    <row r="113" spans="11:15" x14ac:dyDescent="0.25">
      <c r="K113" s="379" t="s">
        <v>198</v>
      </c>
      <c r="L113" s="380" t="s">
        <v>488</v>
      </c>
      <c r="M113" s="380" t="s">
        <v>425</v>
      </c>
      <c r="N113" s="380">
        <v>0.38500000000000001</v>
      </c>
      <c r="O113" s="381">
        <v>485000</v>
      </c>
    </row>
    <row r="114" spans="11:15" x14ac:dyDescent="0.25">
      <c r="K114" s="379" t="s">
        <v>198</v>
      </c>
      <c r="L114" s="380" t="s">
        <v>489</v>
      </c>
      <c r="M114" s="380" t="s">
        <v>486</v>
      </c>
      <c r="N114" s="380">
        <v>1.496</v>
      </c>
      <c r="O114" s="381">
        <v>231000</v>
      </c>
    </row>
    <row r="115" spans="11:15" x14ac:dyDescent="0.25">
      <c r="K115" s="379" t="s">
        <v>198</v>
      </c>
      <c r="L115" s="380" t="s">
        <v>490</v>
      </c>
      <c r="M115" s="380" t="s">
        <v>432</v>
      </c>
      <c r="N115" s="380">
        <v>0.94</v>
      </c>
      <c r="O115" s="381">
        <v>74000</v>
      </c>
    </row>
    <row r="116" spans="11:15" x14ac:dyDescent="0.25">
      <c r="K116" s="379" t="s">
        <v>198</v>
      </c>
      <c r="L116" s="380" t="s">
        <v>491</v>
      </c>
      <c r="M116" s="380" t="s">
        <v>425</v>
      </c>
      <c r="N116" s="380">
        <v>0.57699999999999996</v>
      </c>
      <c r="O116" s="381">
        <v>216000</v>
      </c>
    </row>
    <row r="117" spans="11:15" x14ac:dyDescent="0.25">
      <c r="K117" s="379" t="s">
        <v>198</v>
      </c>
      <c r="L117" s="380" t="s">
        <v>492</v>
      </c>
      <c r="M117" s="380" t="s">
        <v>428</v>
      </c>
      <c r="N117" s="380">
        <v>0</v>
      </c>
      <c r="O117" s="381">
        <v>270000</v>
      </c>
    </row>
    <row r="118" spans="11:15" x14ac:dyDescent="0.25">
      <c r="K118" s="379" t="s">
        <v>198</v>
      </c>
      <c r="L118" s="380" t="s">
        <v>493</v>
      </c>
      <c r="M118" s="380" t="s">
        <v>428</v>
      </c>
      <c r="N118" s="380">
        <v>0</v>
      </c>
      <c r="O118" s="381">
        <v>99000</v>
      </c>
    </row>
    <row r="119" spans="11:15" x14ac:dyDescent="0.25">
      <c r="K119" s="379" t="s">
        <v>198</v>
      </c>
      <c r="L119" s="380" t="s">
        <v>494</v>
      </c>
      <c r="M119" s="380" t="s">
        <v>432</v>
      </c>
      <c r="N119" s="380">
        <v>0.94</v>
      </c>
      <c r="O119" s="381">
        <v>63000</v>
      </c>
    </row>
    <row r="120" spans="11:15" x14ac:dyDescent="0.25">
      <c r="K120" s="379" t="s">
        <v>198</v>
      </c>
      <c r="L120" s="380" t="s">
        <v>495</v>
      </c>
      <c r="M120" s="380" t="s">
        <v>425</v>
      </c>
      <c r="N120" s="380">
        <v>0.66900000000000004</v>
      </c>
      <c r="O120" s="381">
        <v>480000</v>
      </c>
    </row>
    <row r="121" spans="11:15" x14ac:dyDescent="0.25">
      <c r="K121" s="379" t="s">
        <v>198</v>
      </c>
      <c r="L121" s="380" t="s">
        <v>496</v>
      </c>
      <c r="M121" s="380" t="s">
        <v>425</v>
      </c>
      <c r="N121" s="380">
        <v>0.61599999999999999</v>
      </c>
      <c r="O121" s="381">
        <v>800000</v>
      </c>
    </row>
    <row r="122" spans="11:15" x14ac:dyDescent="0.25">
      <c r="K122" s="379" t="s">
        <v>198</v>
      </c>
      <c r="L122" s="380" t="s">
        <v>497</v>
      </c>
      <c r="M122" s="380" t="s">
        <v>428</v>
      </c>
      <c r="N122" s="380">
        <v>0</v>
      </c>
      <c r="O122" s="381">
        <v>111000</v>
      </c>
    </row>
    <row r="123" spans="11:15" x14ac:dyDescent="0.25">
      <c r="K123" s="379" t="s">
        <v>215</v>
      </c>
      <c r="L123" s="380" t="s">
        <v>498</v>
      </c>
      <c r="M123" s="380" t="s">
        <v>423</v>
      </c>
      <c r="N123" s="380">
        <v>0</v>
      </c>
      <c r="O123" s="381">
        <v>80000</v>
      </c>
    </row>
    <row r="124" spans="11:15" x14ac:dyDescent="0.25">
      <c r="K124" s="379" t="s">
        <v>215</v>
      </c>
      <c r="L124" s="380" t="s">
        <v>499</v>
      </c>
      <c r="M124" s="380" t="s">
        <v>425</v>
      </c>
      <c r="N124" s="380">
        <v>0.63700000000000001</v>
      </c>
      <c r="O124" s="381">
        <v>240000</v>
      </c>
    </row>
    <row r="125" spans="11:15" x14ac:dyDescent="0.25">
      <c r="K125" s="379" t="s">
        <v>215</v>
      </c>
      <c r="L125" s="380" t="s">
        <v>500</v>
      </c>
      <c r="M125" s="380" t="s">
        <v>425</v>
      </c>
      <c r="N125" s="380">
        <v>0.63700000000000001</v>
      </c>
      <c r="O125" s="381">
        <v>120000</v>
      </c>
    </row>
    <row r="126" spans="11:15" x14ac:dyDescent="0.25">
      <c r="K126" s="379" t="s">
        <v>215</v>
      </c>
      <c r="L126" s="380" t="s">
        <v>501</v>
      </c>
      <c r="M126" s="380" t="s">
        <v>423</v>
      </c>
      <c r="N126" s="380">
        <v>0</v>
      </c>
      <c r="O126" s="381">
        <v>85000</v>
      </c>
    </row>
    <row r="127" spans="11:15" x14ac:dyDescent="0.25">
      <c r="K127" s="379" t="s">
        <v>215</v>
      </c>
      <c r="L127" s="380" t="s">
        <v>502</v>
      </c>
      <c r="M127" s="380" t="s">
        <v>423</v>
      </c>
      <c r="N127" s="380">
        <v>0</v>
      </c>
      <c r="O127" s="381">
        <v>60000</v>
      </c>
    </row>
    <row r="128" spans="11:15" x14ac:dyDescent="0.25">
      <c r="K128" s="379" t="s">
        <v>215</v>
      </c>
      <c r="L128" s="380" t="s">
        <v>503</v>
      </c>
      <c r="M128" s="380" t="s">
        <v>423</v>
      </c>
      <c r="N128" s="380">
        <v>0</v>
      </c>
      <c r="O128" s="381">
        <v>43000</v>
      </c>
    </row>
    <row r="129" spans="11:15" x14ac:dyDescent="0.25">
      <c r="K129" s="379" t="s">
        <v>215</v>
      </c>
      <c r="L129" s="380" t="s">
        <v>504</v>
      </c>
      <c r="M129" s="380" t="s">
        <v>423</v>
      </c>
      <c r="N129" s="380">
        <v>0</v>
      </c>
      <c r="O129" s="381">
        <v>432000</v>
      </c>
    </row>
    <row r="130" spans="11:15" x14ac:dyDescent="0.25">
      <c r="K130" s="379" t="s">
        <v>215</v>
      </c>
      <c r="L130" s="380" t="s">
        <v>505</v>
      </c>
      <c r="M130" s="380" t="s">
        <v>423</v>
      </c>
      <c r="N130" s="380">
        <v>0</v>
      </c>
      <c r="O130" s="381">
        <v>144000</v>
      </c>
    </row>
    <row r="131" spans="11:15" x14ac:dyDescent="0.25">
      <c r="K131" s="379" t="s">
        <v>215</v>
      </c>
      <c r="L131" s="380" t="s">
        <v>506</v>
      </c>
      <c r="M131" s="380" t="s">
        <v>423</v>
      </c>
      <c r="N131" s="380">
        <v>0</v>
      </c>
      <c r="O131" s="381">
        <v>32000</v>
      </c>
    </row>
    <row r="132" spans="11:15" x14ac:dyDescent="0.25">
      <c r="K132" s="379" t="s">
        <v>215</v>
      </c>
      <c r="L132" s="380" t="s">
        <v>507</v>
      </c>
      <c r="M132" s="380" t="s">
        <v>423</v>
      </c>
      <c r="N132" s="380">
        <v>0</v>
      </c>
      <c r="O132" s="381">
        <v>82000</v>
      </c>
    </row>
    <row r="133" spans="11:15" x14ac:dyDescent="0.25">
      <c r="K133" s="379" t="s">
        <v>215</v>
      </c>
      <c r="L133" s="380" t="s">
        <v>508</v>
      </c>
      <c r="M133" s="380" t="s">
        <v>423</v>
      </c>
      <c r="N133" s="380">
        <v>0</v>
      </c>
      <c r="O133" s="381">
        <v>170000</v>
      </c>
    </row>
    <row r="134" spans="11:15" x14ac:dyDescent="0.25">
      <c r="K134" s="379" t="s">
        <v>215</v>
      </c>
      <c r="L134" s="380" t="s">
        <v>509</v>
      </c>
      <c r="M134" s="380" t="s">
        <v>423</v>
      </c>
      <c r="N134" s="380">
        <v>0</v>
      </c>
      <c r="O134" s="381">
        <v>80000</v>
      </c>
    </row>
    <row r="135" spans="11:15" x14ac:dyDescent="0.25">
      <c r="K135" s="379" t="s">
        <v>215</v>
      </c>
      <c r="L135" s="380" t="s">
        <v>510</v>
      </c>
      <c r="M135" s="380" t="s">
        <v>423</v>
      </c>
      <c r="N135" s="380">
        <v>0</v>
      </c>
      <c r="O135" s="381">
        <v>40000</v>
      </c>
    </row>
    <row r="136" spans="11:15" x14ac:dyDescent="0.25">
      <c r="K136" s="379" t="s">
        <v>215</v>
      </c>
      <c r="L136" s="380" t="s">
        <v>511</v>
      </c>
      <c r="M136" s="380" t="s">
        <v>428</v>
      </c>
      <c r="N136" s="380">
        <v>0</v>
      </c>
      <c r="O136" s="381">
        <v>168000</v>
      </c>
    </row>
    <row r="137" spans="11:15" x14ac:dyDescent="0.25">
      <c r="K137" s="379" t="s">
        <v>215</v>
      </c>
      <c r="L137" s="380" t="s">
        <v>512</v>
      </c>
      <c r="M137" s="380" t="s">
        <v>423</v>
      </c>
      <c r="N137" s="380">
        <v>0</v>
      </c>
      <c r="O137" s="381">
        <v>300000</v>
      </c>
    </row>
    <row r="138" spans="11:15" x14ac:dyDescent="0.25">
      <c r="K138" s="379" t="s">
        <v>215</v>
      </c>
      <c r="L138" s="380" t="s">
        <v>513</v>
      </c>
      <c r="M138" s="380" t="s">
        <v>423</v>
      </c>
      <c r="N138" s="380">
        <v>0</v>
      </c>
      <c r="O138" s="381">
        <v>231000</v>
      </c>
    </row>
    <row r="139" spans="11:15" x14ac:dyDescent="0.25">
      <c r="K139" s="379" t="s">
        <v>215</v>
      </c>
      <c r="L139" s="380" t="s">
        <v>514</v>
      </c>
      <c r="M139" s="380" t="s">
        <v>425</v>
      </c>
      <c r="N139" s="380">
        <v>0.38500000000000001</v>
      </c>
      <c r="O139" s="381">
        <v>200000</v>
      </c>
    </row>
    <row r="140" spans="11:15" x14ac:dyDescent="0.25">
      <c r="K140" s="379" t="s">
        <v>215</v>
      </c>
      <c r="L140" s="380" t="s">
        <v>515</v>
      </c>
      <c r="M140" s="380" t="s">
        <v>425</v>
      </c>
      <c r="N140" s="380">
        <v>0.66</v>
      </c>
      <c r="O140" s="381">
        <v>58000</v>
      </c>
    </row>
    <row r="141" spans="11:15" x14ac:dyDescent="0.25">
      <c r="K141" s="379" t="s">
        <v>215</v>
      </c>
      <c r="L141" s="380" t="s">
        <v>516</v>
      </c>
      <c r="M141" s="380" t="s">
        <v>423</v>
      </c>
      <c r="N141" s="380">
        <v>0</v>
      </c>
      <c r="O141" s="381">
        <v>90000</v>
      </c>
    </row>
    <row r="142" spans="11:15" x14ac:dyDescent="0.25">
      <c r="K142" s="379" t="s">
        <v>215</v>
      </c>
      <c r="L142" s="380" t="s">
        <v>517</v>
      </c>
      <c r="M142" s="380" t="s">
        <v>423</v>
      </c>
      <c r="N142" s="380">
        <v>0</v>
      </c>
      <c r="O142" s="381">
        <v>80000</v>
      </c>
    </row>
    <row r="143" spans="11:15" x14ac:dyDescent="0.25">
      <c r="K143" s="379" t="s">
        <v>215</v>
      </c>
      <c r="L143" s="380" t="s">
        <v>518</v>
      </c>
      <c r="M143" s="380" t="s">
        <v>423</v>
      </c>
      <c r="N143" s="380">
        <v>0</v>
      </c>
      <c r="O143" s="381">
        <v>83000</v>
      </c>
    </row>
    <row r="144" spans="11:15" x14ac:dyDescent="0.25">
      <c r="K144" s="379" t="s">
        <v>215</v>
      </c>
      <c r="L144" s="380" t="s">
        <v>519</v>
      </c>
      <c r="M144" s="380" t="s">
        <v>423</v>
      </c>
      <c r="N144" s="380">
        <v>0</v>
      </c>
      <c r="O144" s="381">
        <v>125000</v>
      </c>
    </row>
    <row r="145" spans="11:15" x14ac:dyDescent="0.25">
      <c r="K145" s="379" t="s">
        <v>212</v>
      </c>
      <c r="L145" s="380" t="s">
        <v>520</v>
      </c>
      <c r="M145" s="380" t="s">
        <v>486</v>
      </c>
      <c r="N145" s="380">
        <v>1.204</v>
      </c>
      <c r="O145" s="381">
        <v>160000</v>
      </c>
    </row>
    <row r="146" spans="11:15" x14ac:dyDescent="0.25">
      <c r="K146" s="379" t="s">
        <v>212</v>
      </c>
      <c r="L146" s="380" t="s">
        <v>521</v>
      </c>
      <c r="M146" s="380" t="s">
        <v>425</v>
      </c>
      <c r="N146" s="380">
        <v>0.54300000000000004</v>
      </c>
      <c r="O146" s="381">
        <v>92000</v>
      </c>
    </row>
    <row r="147" spans="11:15" x14ac:dyDescent="0.25">
      <c r="K147" s="379" t="s">
        <v>212</v>
      </c>
      <c r="L147" s="380" t="s">
        <v>522</v>
      </c>
      <c r="M147" s="380" t="s">
        <v>423</v>
      </c>
      <c r="N147" s="380">
        <v>0</v>
      </c>
      <c r="O147" s="381">
        <v>158000</v>
      </c>
    </row>
    <row r="148" spans="11:15" x14ac:dyDescent="0.25">
      <c r="K148" s="379" t="s">
        <v>212</v>
      </c>
      <c r="L148" s="380" t="s">
        <v>523</v>
      </c>
      <c r="M148" s="380" t="s">
        <v>423</v>
      </c>
      <c r="N148" s="380">
        <v>0</v>
      </c>
      <c r="O148" s="381">
        <v>120000</v>
      </c>
    </row>
    <row r="149" spans="11:15" x14ac:dyDescent="0.25">
      <c r="K149" s="379" t="s">
        <v>212</v>
      </c>
      <c r="L149" s="380" t="s">
        <v>524</v>
      </c>
      <c r="M149" s="380" t="s">
        <v>486</v>
      </c>
      <c r="N149" s="380">
        <v>1.4850000000000001</v>
      </c>
      <c r="O149" s="381">
        <v>195000</v>
      </c>
    </row>
    <row r="150" spans="11:15" x14ac:dyDescent="0.25">
      <c r="K150" s="379" t="s">
        <v>212</v>
      </c>
      <c r="L150" s="380" t="s">
        <v>525</v>
      </c>
      <c r="M150" s="380" t="s">
        <v>486</v>
      </c>
      <c r="N150" s="380">
        <v>1.522</v>
      </c>
      <c r="O150" s="381">
        <v>1640000</v>
      </c>
    </row>
    <row r="151" spans="11:15" x14ac:dyDescent="0.25">
      <c r="K151" s="379" t="s">
        <v>212</v>
      </c>
      <c r="L151" s="380" t="s">
        <v>526</v>
      </c>
      <c r="M151" s="380" t="s">
        <v>423</v>
      </c>
      <c r="N151" s="380">
        <v>0</v>
      </c>
      <c r="O151" s="381">
        <v>29000</v>
      </c>
    </row>
    <row r="152" spans="11:15" x14ac:dyDescent="0.25">
      <c r="K152" s="379" t="s">
        <v>212</v>
      </c>
      <c r="L152" s="380" t="s">
        <v>527</v>
      </c>
      <c r="M152" s="380" t="s">
        <v>425</v>
      </c>
      <c r="N152" s="380">
        <v>0.80600000000000005</v>
      </c>
      <c r="O152" s="381">
        <v>228000</v>
      </c>
    </row>
    <row r="153" spans="11:15" x14ac:dyDescent="0.25">
      <c r="K153" s="379" t="s">
        <v>212</v>
      </c>
      <c r="L153" s="380" t="s">
        <v>528</v>
      </c>
      <c r="M153" s="380" t="s">
        <v>425</v>
      </c>
      <c r="N153" s="380">
        <v>0.80600000000000005</v>
      </c>
      <c r="O153" s="381">
        <v>255000</v>
      </c>
    </row>
    <row r="154" spans="11:15" x14ac:dyDescent="0.25">
      <c r="K154" s="379" t="s">
        <v>212</v>
      </c>
      <c r="L154" s="380" t="s">
        <v>529</v>
      </c>
      <c r="M154" s="380" t="s">
        <v>425</v>
      </c>
      <c r="N154" s="380">
        <v>0.60799999999999998</v>
      </c>
      <c r="O154" s="381">
        <v>312000</v>
      </c>
    </row>
    <row r="155" spans="11:15" x14ac:dyDescent="0.25">
      <c r="K155" s="379" t="s">
        <v>212</v>
      </c>
      <c r="L155" s="380" t="s">
        <v>530</v>
      </c>
      <c r="M155" s="380" t="s">
        <v>486</v>
      </c>
      <c r="N155" s="380">
        <v>1.2110000000000001</v>
      </c>
      <c r="O155" s="381">
        <v>2180000</v>
      </c>
    </row>
    <row r="156" spans="11:15" x14ac:dyDescent="0.25">
      <c r="K156" s="379" t="s">
        <v>212</v>
      </c>
      <c r="L156" s="380" t="s">
        <v>531</v>
      </c>
      <c r="M156" s="380" t="s">
        <v>486</v>
      </c>
      <c r="N156" s="380">
        <v>1.238</v>
      </c>
      <c r="O156" s="381">
        <v>1050000</v>
      </c>
    </row>
    <row r="157" spans="11:15" x14ac:dyDescent="0.25">
      <c r="K157" s="379" t="s">
        <v>212</v>
      </c>
      <c r="L157" s="380" t="s">
        <v>532</v>
      </c>
      <c r="M157" s="380" t="s">
        <v>428</v>
      </c>
      <c r="N157" s="380">
        <v>0</v>
      </c>
      <c r="O157" s="381">
        <v>420000</v>
      </c>
    </row>
    <row r="158" spans="11:15" x14ac:dyDescent="0.25">
      <c r="K158" s="379" t="s">
        <v>212</v>
      </c>
      <c r="L158" s="380" t="s">
        <v>533</v>
      </c>
      <c r="M158" s="380" t="s">
        <v>423</v>
      </c>
      <c r="N158" s="380">
        <v>0</v>
      </c>
      <c r="O158" s="381">
        <v>300000</v>
      </c>
    </row>
    <row r="159" spans="11:15" x14ac:dyDescent="0.25">
      <c r="K159" s="379" t="s">
        <v>212</v>
      </c>
      <c r="L159" s="380" t="s">
        <v>534</v>
      </c>
      <c r="M159" s="380" t="s">
        <v>425</v>
      </c>
      <c r="N159" s="380">
        <v>0.57699999999999996</v>
      </c>
      <c r="O159" s="381">
        <v>566000</v>
      </c>
    </row>
    <row r="160" spans="11:15" x14ac:dyDescent="0.25">
      <c r="K160" s="379" t="s">
        <v>212</v>
      </c>
      <c r="L160" s="380" t="s">
        <v>535</v>
      </c>
      <c r="M160" s="380" t="s">
        <v>428</v>
      </c>
      <c r="N160" s="380">
        <v>0</v>
      </c>
      <c r="O160" s="381">
        <v>131000</v>
      </c>
    </row>
    <row r="161" spans="11:15" x14ac:dyDescent="0.25">
      <c r="K161" s="379" t="s">
        <v>212</v>
      </c>
      <c r="L161" s="380" t="s">
        <v>536</v>
      </c>
      <c r="M161" s="380" t="s">
        <v>423</v>
      </c>
      <c r="N161" s="380">
        <v>0</v>
      </c>
      <c r="O161" s="381">
        <v>1500000</v>
      </c>
    </row>
    <row r="162" spans="11:15" x14ac:dyDescent="0.25">
      <c r="K162" s="379" t="s">
        <v>212</v>
      </c>
      <c r="L162" s="380" t="s">
        <v>537</v>
      </c>
      <c r="M162" s="380" t="s">
        <v>425</v>
      </c>
      <c r="N162" s="380">
        <v>0.55500000000000005</v>
      </c>
      <c r="O162" s="381">
        <v>500000</v>
      </c>
    </row>
    <row r="163" spans="11:15" x14ac:dyDescent="0.25">
      <c r="K163" s="379" t="s">
        <v>212</v>
      </c>
      <c r="L163" s="380" t="s">
        <v>538</v>
      </c>
      <c r="M163" s="380" t="s">
        <v>428</v>
      </c>
      <c r="N163" s="380">
        <v>0</v>
      </c>
      <c r="O163" s="381">
        <v>63000</v>
      </c>
    </row>
    <row r="164" spans="11:15" x14ac:dyDescent="0.25">
      <c r="K164" s="379" t="s">
        <v>212</v>
      </c>
      <c r="L164" s="380" t="s">
        <v>539</v>
      </c>
      <c r="M164" s="380" t="s">
        <v>425</v>
      </c>
      <c r="N164" s="380">
        <v>0.77</v>
      </c>
      <c r="O164" s="381">
        <v>160000</v>
      </c>
    </row>
    <row r="165" spans="11:15" x14ac:dyDescent="0.25">
      <c r="K165" s="379" t="s">
        <v>212</v>
      </c>
      <c r="L165" s="380" t="s">
        <v>540</v>
      </c>
      <c r="M165" s="380" t="s">
        <v>425</v>
      </c>
      <c r="N165" s="380">
        <v>0.77</v>
      </c>
      <c r="O165" s="381">
        <v>300000</v>
      </c>
    </row>
    <row r="166" spans="11:15" x14ac:dyDescent="0.25">
      <c r="K166" s="379" t="s">
        <v>212</v>
      </c>
      <c r="L166" s="380" t="s">
        <v>541</v>
      </c>
      <c r="M166" s="380" t="s">
        <v>423</v>
      </c>
      <c r="N166" s="380">
        <v>0</v>
      </c>
      <c r="O166" s="381">
        <v>62000</v>
      </c>
    </row>
    <row r="167" spans="11:15" x14ac:dyDescent="0.25">
      <c r="K167" s="379" t="s">
        <v>212</v>
      </c>
      <c r="L167" s="380" t="s">
        <v>542</v>
      </c>
      <c r="M167" s="380" t="s">
        <v>486</v>
      </c>
      <c r="N167" s="380">
        <v>1.417</v>
      </c>
      <c r="O167" s="381">
        <v>1538000</v>
      </c>
    </row>
    <row r="168" spans="11:15" x14ac:dyDescent="0.25">
      <c r="K168" s="379" t="s">
        <v>385</v>
      </c>
      <c r="L168" s="380" t="s">
        <v>543</v>
      </c>
      <c r="M168" s="380" t="s">
        <v>428</v>
      </c>
      <c r="N168" s="380">
        <v>0</v>
      </c>
      <c r="O168" s="381">
        <v>22000</v>
      </c>
    </row>
    <row r="169" spans="11:15" x14ac:dyDescent="0.25">
      <c r="K169" s="379" t="s">
        <v>385</v>
      </c>
      <c r="L169" s="380" t="s">
        <v>544</v>
      </c>
      <c r="M169" s="380" t="s">
        <v>425</v>
      </c>
      <c r="N169" s="380">
        <v>0.61599999999999999</v>
      </c>
      <c r="O169" s="381">
        <v>5000</v>
      </c>
    </row>
    <row r="170" spans="11:15" x14ac:dyDescent="0.25">
      <c r="K170" s="379" t="s">
        <v>385</v>
      </c>
      <c r="L170" s="380" t="s">
        <v>545</v>
      </c>
      <c r="M170" s="380" t="s">
        <v>425</v>
      </c>
      <c r="N170" s="380">
        <v>0.61599999999999999</v>
      </c>
      <c r="O170" s="381">
        <v>10000</v>
      </c>
    </row>
    <row r="171" spans="11:15" x14ac:dyDescent="0.25">
      <c r="K171" s="379" t="s">
        <v>385</v>
      </c>
      <c r="L171" s="380" t="s">
        <v>546</v>
      </c>
      <c r="M171" s="380" t="s">
        <v>425</v>
      </c>
      <c r="N171" s="380">
        <v>0.61599999999999999</v>
      </c>
      <c r="O171" s="381">
        <v>25000</v>
      </c>
    </row>
    <row r="172" spans="11:15" x14ac:dyDescent="0.25">
      <c r="K172" s="379" t="s">
        <v>385</v>
      </c>
      <c r="L172" s="380" t="s">
        <v>547</v>
      </c>
      <c r="M172" s="380" t="s">
        <v>419</v>
      </c>
      <c r="N172" s="380">
        <v>0.92800000000000005</v>
      </c>
      <c r="O172" s="381">
        <v>441000</v>
      </c>
    </row>
    <row r="173" spans="11:15" x14ac:dyDescent="0.25">
      <c r="K173" s="379" t="s">
        <v>385</v>
      </c>
      <c r="L173" s="380" t="s">
        <v>548</v>
      </c>
      <c r="M173" s="380" t="s">
        <v>425</v>
      </c>
      <c r="N173" s="380">
        <v>0.56000000000000005</v>
      </c>
      <c r="O173" s="381">
        <v>81000</v>
      </c>
    </row>
    <row r="174" spans="11:15" x14ac:dyDescent="0.25">
      <c r="K174" s="379" t="s">
        <v>385</v>
      </c>
      <c r="L174" s="380" t="s">
        <v>549</v>
      </c>
      <c r="M174" s="380" t="s">
        <v>550</v>
      </c>
      <c r="N174" s="380">
        <v>0</v>
      </c>
      <c r="O174" s="381">
        <v>9000</v>
      </c>
    </row>
    <row r="175" spans="11:15" x14ac:dyDescent="0.25">
      <c r="K175" s="379" t="s">
        <v>385</v>
      </c>
      <c r="L175" s="380" t="s">
        <v>551</v>
      </c>
      <c r="M175" s="380" t="s">
        <v>425</v>
      </c>
      <c r="N175" s="380">
        <v>0.38500000000000001</v>
      </c>
      <c r="O175" s="381">
        <v>246000</v>
      </c>
    </row>
    <row r="176" spans="11:15" x14ac:dyDescent="0.25">
      <c r="K176" s="379" t="s">
        <v>385</v>
      </c>
      <c r="L176" s="380" t="s">
        <v>552</v>
      </c>
      <c r="M176" s="380" t="s">
        <v>428</v>
      </c>
      <c r="N176" s="380">
        <v>0</v>
      </c>
      <c r="O176" s="381">
        <v>206000</v>
      </c>
    </row>
    <row r="177" spans="11:15" x14ac:dyDescent="0.25">
      <c r="K177" s="379" t="s">
        <v>385</v>
      </c>
      <c r="L177" s="380" t="s">
        <v>553</v>
      </c>
      <c r="M177" s="380" t="s">
        <v>419</v>
      </c>
      <c r="N177" s="380">
        <v>0.93100000000000005</v>
      </c>
      <c r="O177" s="381">
        <v>333000</v>
      </c>
    </row>
    <row r="178" spans="11:15" x14ac:dyDescent="0.25">
      <c r="K178" s="379" t="s">
        <v>385</v>
      </c>
      <c r="L178" s="380" t="s">
        <v>554</v>
      </c>
      <c r="M178" s="380" t="s">
        <v>428</v>
      </c>
      <c r="N178" s="380">
        <v>0</v>
      </c>
      <c r="O178" s="381">
        <v>80000</v>
      </c>
    </row>
    <row r="179" spans="11:15" x14ac:dyDescent="0.25">
      <c r="K179" s="379" t="s">
        <v>385</v>
      </c>
      <c r="L179" s="380" t="s">
        <v>555</v>
      </c>
      <c r="M179" s="380" t="s">
        <v>556</v>
      </c>
      <c r="N179" s="380">
        <v>0.84299999999999997</v>
      </c>
      <c r="O179" s="381">
        <v>21000</v>
      </c>
    </row>
    <row r="180" spans="11:15" x14ac:dyDescent="0.25">
      <c r="K180" s="379" t="s">
        <v>385</v>
      </c>
      <c r="L180" s="380" t="s">
        <v>557</v>
      </c>
      <c r="M180" s="380" t="s">
        <v>428</v>
      </c>
      <c r="N180" s="380">
        <v>0</v>
      </c>
      <c r="O180" s="381">
        <v>14000</v>
      </c>
    </row>
    <row r="181" spans="11:15" x14ac:dyDescent="0.25">
      <c r="K181" s="379" t="s">
        <v>385</v>
      </c>
      <c r="L181" s="380" t="s">
        <v>558</v>
      </c>
      <c r="M181" s="380" t="s">
        <v>416</v>
      </c>
      <c r="N181" s="380">
        <v>0</v>
      </c>
      <c r="O181" s="381">
        <v>10000</v>
      </c>
    </row>
    <row r="182" spans="11:15" x14ac:dyDescent="0.25">
      <c r="K182" s="379" t="s">
        <v>385</v>
      </c>
      <c r="L182" s="380" t="s">
        <v>559</v>
      </c>
      <c r="M182" s="380" t="s">
        <v>556</v>
      </c>
      <c r="N182" s="380">
        <v>0.74099999999999999</v>
      </c>
      <c r="O182" s="381">
        <v>63000</v>
      </c>
    </row>
    <row r="183" spans="11:15" x14ac:dyDescent="0.25">
      <c r="K183" s="379" t="s">
        <v>385</v>
      </c>
      <c r="L183" s="380" t="s">
        <v>560</v>
      </c>
      <c r="M183" s="380" t="s">
        <v>425</v>
      </c>
      <c r="N183" s="380">
        <v>0.56000000000000005</v>
      </c>
      <c r="O183" s="381">
        <v>10000</v>
      </c>
    </row>
    <row r="184" spans="11:15" x14ac:dyDescent="0.25">
      <c r="K184" s="379" t="s">
        <v>385</v>
      </c>
      <c r="L184" s="380" t="s">
        <v>561</v>
      </c>
      <c r="M184" s="380" t="s">
        <v>425</v>
      </c>
      <c r="N184" s="380">
        <v>0.54300000000000004</v>
      </c>
      <c r="O184" s="381">
        <v>310000</v>
      </c>
    </row>
    <row r="185" spans="11:15" x14ac:dyDescent="0.25">
      <c r="K185" s="379" t="s">
        <v>385</v>
      </c>
      <c r="L185" s="380" t="s">
        <v>562</v>
      </c>
      <c r="M185" s="380" t="s">
        <v>425</v>
      </c>
      <c r="N185" s="380">
        <v>0.57699999999999996</v>
      </c>
      <c r="O185" s="381">
        <v>245000</v>
      </c>
    </row>
    <row r="186" spans="11:15" x14ac:dyDescent="0.25">
      <c r="K186" s="379" t="s">
        <v>385</v>
      </c>
      <c r="L186" s="380" t="s">
        <v>563</v>
      </c>
      <c r="M186" s="380" t="s">
        <v>425</v>
      </c>
      <c r="N186" s="380">
        <v>0.57699999999999996</v>
      </c>
      <c r="O186" s="381">
        <v>0</v>
      </c>
    </row>
    <row r="187" spans="11:15" x14ac:dyDescent="0.25">
      <c r="K187" s="379" t="s">
        <v>385</v>
      </c>
      <c r="L187" s="380" t="s">
        <v>564</v>
      </c>
      <c r="M187" s="380" t="s">
        <v>425</v>
      </c>
      <c r="N187" s="380">
        <v>0.56000000000000005</v>
      </c>
      <c r="O187" s="381">
        <v>385000</v>
      </c>
    </row>
    <row r="188" spans="11:15" x14ac:dyDescent="0.25">
      <c r="K188" s="379" t="s">
        <v>385</v>
      </c>
      <c r="L188" s="380" t="s">
        <v>565</v>
      </c>
      <c r="M188" s="380" t="s">
        <v>556</v>
      </c>
      <c r="N188" s="380">
        <v>0.76400000000000001</v>
      </c>
      <c r="O188" s="381">
        <v>21000</v>
      </c>
    </row>
    <row r="189" spans="11:15" x14ac:dyDescent="0.25">
      <c r="K189" s="379" t="s">
        <v>385</v>
      </c>
      <c r="L189" s="380" t="s">
        <v>566</v>
      </c>
      <c r="M189" s="380" t="s">
        <v>425</v>
      </c>
      <c r="N189" s="380">
        <v>0.46200000000000002</v>
      </c>
      <c r="O189" s="381">
        <v>201000</v>
      </c>
    </row>
    <row r="190" spans="11:15" x14ac:dyDescent="0.25">
      <c r="K190" s="379" t="s">
        <v>385</v>
      </c>
      <c r="L190" s="380" t="s">
        <v>567</v>
      </c>
      <c r="M190" s="380" t="s">
        <v>419</v>
      </c>
      <c r="N190" s="380">
        <v>1.27</v>
      </c>
      <c r="O190" s="381">
        <v>240000</v>
      </c>
    </row>
    <row r="191" spans="11:15" x14ac:dyDescent="0.25">
      <c r="K191" s="379" t="s">
        <v>385</v>
      </c>
      <c r="L191" s="380" t="s">
        <v>568</v>
      </c>
      <c r="M191" s="380" t="s">
        <v>419</v>
      </c>
      <c r="N191" s="380">
        <v>0.97</v>
      </c>
      <c r="O191" s="381">
        <v>398000</v>
      </c>
    </row>
    <row r="192" spans="11:15" x14ac:dyDescent="0.25">
      <c r="K192" s="379" t="s">
        <v>385</v>
      </c>
      <c r="L192" s="380" t="s">
        <v>569</v>
      </c>
      <c r="M192" s="380" t="s">
        <v>419</v>
      </c>
      <c r="N192" s="380">
        <v>0.94199999999999995</v>
      </c>
      <c r="O192" s="381">
        <v>454000</v>
      </c>
    </row>
    <row r="193" spans="11:15" x14ac:dyDescent="0.25">
      <c r="K193" s="379" t="s">
        <v>385</v>
      </c>
      <c r="L193" s="380" t="s">
        <v>570</v>
      </c>
      <c r="M193" s="380" t="s">
        <v>428</v>
      </c>
      <c r="N193" s="380">
        <v>0</v>
      </c>
      <c r="O193" s="381">
        <v>55000</v>
      </c>
    </row>
    <row r="194" spans="11:15" x14ac:dyDescent="0.25">
      <c r="K194" s="379" t="s">
        <v>385</v>
      </c>
      <c r="L194" s="380" t="s">
        <v>571</v>
      </c>
      <c r="M194" s="380" t="s">
        <v>425</v>
      </c>
      <c r="N194" s="380">
        <v>0.63700000000000001</v>
      </c>
      <c r="O194" s="381">
        <v>113000</v>
      </c>
    </row>
    <row r="195" spans="11:15" x14ac:dyDescent="0.25">
      <c r="K195" s="379" t="s">
        <v>385</v>
      </c>
      <c r="L195" s="380" t="s">
        <v>572</v>
      </c>
      <c r="M195" s="380" t="s">
        <v>556</v>
      </c>
      <c r="N195" s="380">
        <v>0.81499999999999995</v>
      </c>
      <c r="O195" s="381">
        <v>70000</v>
      </c>
    </row>
    <row r="196" spans="11:15" x14ac:dyDescent="0.25">
      <c r="K196" s="379" t="s">
        <v>385</v>
      </c>
      <c r="L196" s="380" t="s">
        <v>573</v>
      </c>
      <c r="M196" s="380" t="s">
        <v>425</v>
      </c>
      <c r="N196" s="380">
        <v>0.57699999999999996</v>
      </c>
      <c r="O196" s="381">
        <v>330000</v>
      </c>
    </row>
    <row r="197" spans="11:15" x14ac:dyDescent="0.25">
      <c r="K197" s="379" t="s">
        <v>385</v>
      </c>
      <c r="L197" s="380" t="s">
        <v>574</v>
      </c>
      <c r="M197" s="380" t="s">
        <v>425</v>
      </c>
      <c r="N197" s="380">
        <v>0.38500000000000001</v>
      </c>
      <c r="O197" s="381">
        <v>314000</v>
      </c>
    </row>
    <row r="198" spans="11:15" x14ac:dyDescent="0.25">
      <c r="K198" s="379" t="s">
        <v>385</v>
      </c>
      <c r="L198" s="380" t="s">
        <v>575</v>
      </c>
      <c r="M198" s="380" t="s">
        <v>425</v>
      </c>
      <c r="N198" s="380">
        <v>0.56000000000000005</v>
      </c>
      <c r="O198" s="381">
        <v>68000</v>
      </c>
    </row>
    <row r="199" spans="11:15" x14ac:dyDescent="0.25">
      <c r="K199" s="379" t="s">
        <v>385</v>
      </c>
      <c r="L199" s="380" t="s">
        <v>576</v>
      </c>
      <c r="M199" s="380" t="s">
        <v>425</v>
      </c>
      <c r="N199" s="380">
        <v>0.63700000000000001</v>
      </c>
      <c r="O199" s="381">
        <v>228000</v>
      </c>
    </row>
    <row r="200" spans="11:15" x14ac:dyDescent="0.25">
      <c r="K200" s="379" t="s">
        <v>385</v>
      </c>
      <c r="L200" s="380" t="s">
        <v>577</v>
      </c>
      <c r="M200" s="380" t="s">
        <v>425</v>
      </c>
      <c r="N200" s="380">
        <v>0.63700000000000001</v>
      </c>
      <c r="O200" s="381">
        <v>233000</v>
      </c>
    </row>
    <row r="201" spans="11:15" x14ac:dyDescent="0.25">
      <c r="K201" s="379" t="s">
        <v>385</v>
      </c>
      <c r="L201" s="380" t="s">
        <v>578</v>
      </c>
      <c r="M201" s="380" t="s">
        <v>425</v>
      </c>
      <c r="N201" s="380">
        <v>0.63700000000000001</v>
      </c>
      <c r="O201" s="381">
        <v>124000</v>
      </c>
    </row>
    <row r="202" spans="11:15" x14ac:dyDescent="0.25">
      <c r="K202" s="379" t="s">
        <v>385</v>
      </c>
      <c r="L202" s="380" t="s">
        <v>579</v>
      </c>
      <c r="M202" s="380" t="s">
        <v>425</v>
      </c>
      <c r="N202" s="380">
        <v>0.54200000000000004</v>
      </c>
      <c r="O202" s="381">
        <v>280000</v>
      </c>
    </row>
    <row r="203" spans="11:15" x14ac:dyDescent="0.25">
      <c r="K203" s="379" t="s">
        <v>385</v>
      </c>
      <c r="L203" s="380" t="s">
        <v>580</v>
      </c>
      <c r="M203" s="380" t="s">
        <v>556</v>
      </c>
      <c r="N203" s="380">
        <v>0.873</v>
      </c>
      <c r="O203" s="381">
        <v>40000</v>
      </c>
    </row>
    <row r="204" spans="11:15" x14ac:dyDescent="0.25">
      <c r="K204" s="379" t="s">
        <v>385</v>
      </c>
      <c r="L204" s="380" t="s">
        <v>581</v>
      </c>
      <c r="M204" s="380" t="s">
        <v>425</v>
      </c>
      <c r="N204" s="380">
        <v>0.57699999999999996</v>
      </c>
      <c r="O204" s="381">
        <v>37000</v>
      </c>
    </row>
    <row r="205" spans="11:15" x14ac:dyDescent="0.25">
      <c r="K205" s="379" t="s">
        <v>385</v>
      </c>
      <c r="L205" s="380" t="s">
        <v>582</v>
      </c>
      <c r="M205" s="380" t="s">
        <v>556</v>
      </c>
      <c r="N205" s="380">
        <v>0.71699999999999997</v>
      </c>
      <c r="O205" s="381">
        <v>323000</v>
      </c>
    </row>
    <row r="206" spans="11:15" x14ac:dyDescent="0.25">
      <c r="K206" s="379" t="s">
        <v>385</v>
      </c>
      <c r="L206" s="380" t="s">
        <v>583</v>
      </c>
      <c r="M206" s="380" t="s">
        <v>428</v>
      </c>
      <c r="N206" s="380">
        <v>0</v>
      </c>
      <c r="O206" s="381">
        <v>89000</v>
      </c>
    </row>
    <row r="207" spans="11:15" x14ac:dyDescent="0.25">
      <c r="K207" s="379" t="s">
        <v>385</v>
      </c>
      <c r="L207" s="380" t="s">
        <v>584</v>
      </c>
      <c r="M207" s="380" t="s">
        <v>425</v>
      </c>
      <c r="N207" s="380">
        <v>0.57699999999999996</v>
      </c>
      <c r="O207" s="381">
        <v>106000</v>
      </c>
    </row>
    <row r="208" spans="11:15" x14ac:dyDescent="0.25">
      <c r="K208" s="379" t="s">
        <v>385</v>
      </c>
      <c r="L208" s="380" t="s">
        <v>585</v>
      </c>
      <c r="M208" s="380" t="s">
        <v>419</v>
      </c>
      <c r="N208" s="380">
        <v>1.1970000000000001</v>
      </c>
      <c r="O208" s="381">
        <v>0</v>
      </c>
    </row>
    <row r="209" spans="11:15" x14ac:dyDescent="0.25">
      <c r="K209" s="379" t="s">
        <v>385</v>
      </c>
      <c r="L209" s="380" t="s">
        <v>586</v>
      </c>
      <c r="M209" s="380" t="s">
        <v>425</v>
      </c>
      <c r="N209" s="380">
        <v>0.56000000000000005</v>
      </c>
      <c r="O209" s="381">
        <v>116000</v>
      </c>
    </row>
    <row r="210" spans="11:15" x14ac:dyDescent="0.25">
      <c r="K210" s="379" t="s">
        <v>386</v>
      </c>
      <c r="L210" s="380" t="s">
        <v>587</v>
      </c>
      <c r="M210" s="380" t="s">
        <v>425</v>
      </c>
      <c r="N210" s="380">
        <v>0.63700000000000001</v>
      </c>
      <c r="O210" s="381">
        <v>74000</v>
      </c>
    </row>
    <row r="211" spans="11:15" x14ac:dyDescent="0.25">
      <c r="K211" s="379" t="s">
        <v>386</v>
      </c>
      <c r="L211" s="380" t="s">
        <v>588</v>
      </c>
      <c r="M211" s="380" t="s">
        <v>425</v>
      </c>
      <c r="N211" s="380">
        <v>0.61599999999999999</v>
      </c>
      <c r="O211" s="381">
        <v>105000</v>
      </c>
    </row>
    <row r="212" spans="11:15" x14ac:dyDescent="0.25">
      <c r="K212" s="379" t="s">
        <v>386</v>
      </c>
      <c r="L212" s="380" t="s">
        <v>589</v>
      </c>
      <c r="M212" s="380" t="s">
        <v>425</v>
      </c>
      <c r="N212" s="380">
        <v>0.36899999999999999</v>
      </c>
      <c r="O212" s="381">
        <v>450000</v>
      </c>
    </row>
    <row r="213" spans="11:15" x14ac:dyDescent="0.25">
      <c r="K213" s="379" t="s">
        <v>386</v>
      </c>
      <c r="L213" s="380" t="s">
        <v>590</v>
      </c>
      <c r="M213" s="380" t="s">
        <v>425</v>
      </c>
      <c r="N213" s="380">
        <v>0.61599999999999999</v>
      </c>
      <c r="O213" s="381">
        <v>120000</v>
      </c>
    </row>
    <row r="214" spans="11:15" x14ac:dyDescent="0.25">
      <c r="K214" s="379" t="s">
        <v>386</v>
      </c>
      <c r="L214" s="380" t="s">
        <v>591</v>
      </c>
      <c r="M214" s="380" t="s">
        <v>425</v>
      </c>
      <c r="N214" s="380">
        <v>0.61599999999999999</v>
      </c>
      <c r="O214" s="381">
        <v>44000</v>
      </c>
    </row>
    <row r="215" spans="11:15" x14ac:dyDescent="0.25">
      <c r="K215" s="379" t="s">
        <v>386</v>
      </c>
      <c r="L215" s="380" t="s">
        <v>592</v>
      </c>
      <c r="M215" s="380" t="s">
        <v>425</v>
      </c>
      <c r="N215" s="380">
        <v>0.46200000000000002</v>
      </c>
      <c r="O215" s="381">
        <v>86000</v>
      </c>
    </row>
    <row r="216" spans="11:15" x14ac:dyDescent="0.25">
      <c r="K216" s="379" t="s">
        <v>386</v>
      </c>
      <c r="L216" s="380" t="s">
        <v>593</v>
      </c>
      <c r="M216" s="380" t="s">
        <v>432</v>
      </c>
      <c r="N216" s="380">
        <v>0.84299999999999997</v>
      </c>
      <c r="O216" s="381">
        <v>20000</v>
      </c>
    </row>
    <row r="217" spans="11:15" x14ac:dyDescent="0.25">
      <c r="K217" s="379" t="s">
        <v>386</v>
      </c>
      <c r="L217" s="380" t="s">
        <v>594</v>
      </c>
      <c r="M217" s="380" t="s">
        <v>425</v>
      </c>
      <c r="N217" s="380">
        <v>0.63700000000000001</v>
      </c>
      <c r="O217" s="381">
        <v>180000</v>
      </c>
    </row>
    <row r="218" spans="11:15" x14ac:dyDescent="0.25">
      <c r="K218" s="379" t="s">
        <v>199</v>
      </c>
      <c r="L218" s="380" t="s">
        <v>595</v>
      </c>
      <c r="M218" s="380" t="s">
        <v>432</v>
      </c>
      <c r="N218" s="380">
        <v>1.0189999999999999</v>
      </c>
      <c r="O218" s="381">
        <v>30000</v>
      </c>
    </row>
    <row r="219" spans="11:15" x14ac:dyDescent="0.25">
      <c r="K219" s="379" t="s">
        <v>199</v>
      </c>
      <c r="L219" s="380" t="s">
        <v>596</v>
      </c>
      <c r="M219" s="380" t="s">
        <v>425</v>
      </c>
      <c r="N219" s="380">
        <v>0.68400000000000005</v>
      </c>
      <c r="O219" s="381">
        <v>95000</v>
      </c>
    </row>
    <row r="220" spans="11:15" x14ac:dyDescent="0.25">
      <c r="K220" s="379" t="s">
        <v>199</v>
      </c>
      <c r="L220" s="380" t="s">
        <v>597</v>
      </c>
      <c r="M220" s="380" t="s">
        <v>425</v>
      </c>
      <c r="N220" s="380">
        <v>0.38500000000000001</v>
      </c>
      <c r="O220" s="381">
        <v>95000</v>
      </c>
    </row>
    <row r="221" spans="11:15" x14ac:dyDescent="0.25">
      <c r="K221" s="379" t="s">
        <v>199</v>
      </c>
      <c r="L221" s="380" t="s">
        <v>598</v>
      </c>
      <c r="M221" s="380" t="s">
        <v>425</v>
      </c>
      <c r="N221" s="380">
        <v>0.499</v>
      </c>
      <c r="O221" s="381">
        <v>42000</v>
      </c>
    </row>
    <row r="222" spans="11:15" x14ac:dyDescent="0.25">
      <c r="K222" s="379" t="s">
        <v>199</v>
      </c>
      <c r="L222" s="380" t="s">
        <v>599</v>
      </c>
      <c r="M222" s="380" t="s">
        <v>425</v>
      </c>
      <c r="N222" s="380">
        <v>0.499</v>
      </c>
      <c r="O222" s="381">
        <v>90000</v>
      </c>
    </row>
    <row r="223" spans="11:15" x14ac:dyDescent="0.25">
      <c r="K223" s="379" t="s">
        <v>199</v>
      </c>
      <c r="L223" s="380" t="s">
        <v>600</v>
      </c>
      <c r="M223" s="380" t="s">
        <v>425</v>
      </c>
      <c r="N223" s="380">
        <v>0.73899999999999999</v>
      </c>
      <c r="O223" s="381">
        <v>34000</v>
      </c>
    </row>
    <row r="224" spans="11:15" x14ac:dyDescent="0.25">
      <c r="K224" s="379" t="s">
        <v>199</v>
      </c>
      <c r="L224" s="380" t="s">
        <v>601</v>
      </c>
      <c r="M224" s="380" t="s">
        <v>550</v>
      </c>
      <c r="N224" s="380">
        <v>0</v>
      </c>
      <c r="O224" s="381">
        <v>1000</v>
      </c>
    </row>
    <row r="225" spans="11:15" x14ac:dyDescent="0.25">
      <c r="K225" s="379" t="s">
        <v>199</v>
      </c>
      <c r="L225" s="380" t="s">
        <v>602</v>
      </c>
      <c r="M225" s="380" t="s">
        <v>425</v>
      </c>
      <c r="N225" s="380">
        <v>0.39300000000000002</v>
      </c>
      <c r="O225" s="381">
        <v>27000</v>
      </c>
    </row>
    <row r="226" spans="11:15" x14ac:dyDescent="0.25">
      <c r="K226" s="382" t="s">
        <v>199</v>
      </c>
      <c r="L226" s="383" t="s">
        <v>603</v>
      </c>
      <c r="M226" s="383" t="s">
        <v>425</v>
      </c>
      <c r="N226" s="383">
        <v>0.52800000000000002</v>
      </c>
      <c r="O226" s="384">
        <v>128000</v>
      </c>
    </row>
    <row r="227" spans="11:15" x14ac:dyDescent="0.25">
      <c r="K227" s="19" t="s">
        <v>609</v>
      </c>
    </row>
  </sheetData>
  <sheetProtection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ColWidth="10.85546875" defaultRowHeight="12" x14ac:dyDescent="0.2"/>
  <cols>
    <col min="1" max="1" width="2.140625" style="409" customWidth="1"/>
    <col min="2" max="5" width="10.85546875" style="409"/>
    <col min="6" max="16384" width="10.85546875" style="410"/>
  </cols>
  <sheetData>
    <row r="1" spans="1:5" ht="18.75" x14ac:dyDescent="0.3">
      <c r="A1" s="408" t="s">
        <v>166</v>
      </c>
    </row>
    <row r="2" spans="1:5" ht="6" customHeight="1" x14ac:dyDescent="0.2"/>
    <row r="3" spans="1:5" ht="15.75" x14ac:dyDescent="0.25">
      <c r="B3" s="412" t="s">
        <v>167</v>
      </c>
      <c r="C3" s="413" t="s">
        <v>21</v>
      </c>
      <c r="D3" s="414"/>
      <c r="E3" s="415"/>
    </row>
    <row r="4" spans="1:5" ht="15.75" x14ac:dyDescent="0.25">
      <c r="B4" s="414" t="s">
        <v>143</v>
      </c>
      <c r="C4" s="414">
        <v>1</v>
      </c>
      <c r="D4" s="414"/>
      <c r="E4" s="415"/>
    </row>
    <row r="5" spans="1:5" ht="15.75" x14ac:dyDescent="0.25">
      <c r="B5" s="414" t="s">
        <v>135</v>
      </c>
      <c r="C5" s="414">
        <v>25</v>
      </c>
      <c r="D5" s="414"/>
      <c r="E5" s="415"/>
    </row>
    <row r="6" spans="1:5" ht="15.75" x14ac:dyDescent="0.25">
      <c r="B6" s="414" t="s">
        <v>136</v>
      </c>
      <c r="C6" s="414">
        <v>298</v>
      </c>
      <c r="D6" s="414"/>
      <c r="E6" s="415"/>
    </row>
    <row r="7" spans="1:5" ht="15.75" x14ac:dyDescent="0.25">
      <c r="B7" s="414" t="s">
        <v>168</v>
      </c>
      <c r="C7" s="416">
        <v>7390</v>
      </c>
      <c r="D7" s="414"/>
      <c r="E7" s="415"/>
    </row>
    <row r="8" spans="1:5" ht="15.75" x14ac:dyDescent="0.25">
      <c r="B8" s="414" t="s">
        <v>169</v>
      </c>
      <c r="C8" s="416">
        <v>12200</v>
      </c>
      <c r="D8" s="414"/>
      <c r="E8" s="415"/>
    </row>
    <row r="9" spans="1:5" ht="15.75" x14ac:dyDescent="0.25">
      <c r="B9" s="414" t="s">
        <v>170</v>
      </c>
      <c r="C9" s="416">
        <v>22800</v>
      </c>
      <c r="D9" s="414"/>
      <c r="E9" s="415"/>
    </row>
    <row r="10" spans="1:5" ht="15.75" x14ac:dyDescent="0.25">
      <c r="B10" s="414" t="s">
        <v>171</v>
      </c>
      <c r="C10" s="416">
        <v>17200</v>
      </c>
      <c r="D10" s="414"/>
      <c r="E10" s="415"/>
    </row>
    <row r="11" spans="1:5" ht="15.75" x14ac:dyDescent="0.25">
      <c r="B11" s="414"/>
      <c r="C11" s="414"/>
      <c r="D11" s="414"/>
      <c r="E11" s="415"/>
    </row>
    <row r="12" spans="1:5" ht="15.75" x14ac:dyDescent="0.25">
      <c r="B12" s="412" t="s">
        <v>167</v>
      </c>
      <c r="C12" s="417" t="s">
        <v>172</v>
      </c>
      <c r="D12" s="412"/>
      <c r="E12" s="415"/>
    </row>
    <row r="13" spans="1:5" ht="15.75" x14ac:dyDescent="0.25">
      <c r="B13" s="412" t="s">
        <v>143</v>
      </c>
      <c r="C13" s="418">
        <f>44/12</f>
        <v>3.6666666666666665</v>
      </c>
      <c r="D13" s="412"/>
      <c r="E13" s="415"/>
    </row>
    <row r="14" spans="1:5" ht="15.75" x14ac:dyDescent="0.25">
      <c r="B14" s="414" t="s">
        <v>135</v>
      </c>
      <c r="C14" s="419">
        <f>16/12</f>
        <v>1.3333333333333333</v>
      </c>
      <c r="D14" s="414"/>
      <c r="E14" s="415"/>
    </row>
    <row r="15" spans="1:5" ht="15.75" x14ac:dyDescent="0.25">
      <c r="B15" s="414" t="s">
        <v>136</v>
      </c>
      <c r="C15" s="419">
        <f>44/28</f>
        <v>1.5714285714285714</v>
      </c>
      <c r="D15" s="414"/>
      <c r="E15" s="415"/>
    </row>
    <row r="16" spans="1:5" ht="15.75" x14ac:dyDescent="0.25">
      <c r="B16" s="414" t="s">
        <v>173</v>
      </c>
      <c r="C16" s="419">
        <f>46/14</f>
        <v>3.2857142857142856</v>
      </c>
      <c r="D16" s="414"/>
      <c r="E16" s="415"/>
    </row>
    <row r="17" spans="2:5" ht="15.75" x14ac:dyDescent="0.25">
      <c r="B17" s="414" t="s">
        <v>137</v>
      </c>
      <c r="C17" s="419">
        <f>28/12</f>
        <v>2.3333333333333335</v>
      </c>
      <c r="D17" s="414"/>
      <c r="E17" s="415"/>
    </row>
    <row r="18" spans="2:5" ht="15.75" x14ac:dyDescent="0.25">
      <c r="B18" s="414" t="s">
        <v>174</v>
      </c>
      <c r="C18" s="419">
        <f>44/12</f>
        <v>3.6666666666666665</v>
      </c>
      <c r="D18" s="414"/>
      <c r="E18" s="415"/>
    </row>
    <row r="19" spans="2:5" ht="15.75" x14ac:dyDescent="0.25">
      <c r="B19" s="414" t="s">
        <v>138</v>
      </c>
      <c r="C19" s="419">
        <f>14/12</f>
        <v>1.1666666666666667</v>
      </c>
      <c r="D19" s="414"/>
      <c r="E19" s="415"/>
    </row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M72"/>
  <sheetViews>
    <sheetView showGridLines="0" zoomScale="110" zoomScaleNormal="110" zoomScalePageLayoutView="125" workbookViewId="0">
      <selection activeCell="C16" sqref="C16"/>
    </sheetView>
  </sheetViews>
  <sheetFormatPr defaultColWidth="9.140625" defaultRowHeight="15.75" x14ac:dyDescent="0.25"/>
  <cols>
    <col min="1" max="1" width="2.42578125" style="123" customWidth="1"/>
    <col min="2" max="2" width="53.7109375" style="123" customWidth="1"/>
    <col min="3" max="7" width="18.85546875" style="123" customWidth="1"/>
    <col min="8" max="8" width="15.140625" style="123" customWidth="1"/>
    <col min="9" max="9" width="12.42578125" style="123" customWidth="1"/>
    <col min="10" max="10" width="21.42578125" style="123" customWidth="1"/>
    <col min="11" max="11" width="12.7109375" style="123" customWidth="1"/>
    <col min="12" max="12" width="9.140625" style="123"/>
    <col min="13" max="13" width="14.7109375" style="123" customWidth="1"/>
    <col min="14" max="16" width="9.140625" style="123"/>
    <col min="17" max="17" width="16.140625" style="123" customWidth="1"/>
    <col min="18" max="16384" width="9.140625" style="123"/>
  </cols>
  <sheetData>
    <row r="1" spans="2:8" ht="24" customHeight="1" x14ac:dyDescent="0.3">
      <c r="B1" s="122" t="s">
        <v>97</v>
      </c>
      <c r="C1" s="77" t="s">
        <v>31</v>
      </c>
      <c r="D1" s="439" t="s">
        <v>654</v>
      </c>
      <c r="E1" s="440"/>
    </row>
    <row r="2" spans="2:8" ht="18.95" customHeight="1" x14ac:dyDescent="0.25"/>
    <row r="3" spans="2:8" ht="20.100000000000001" customHeight="1" x14ac:dyDescent="0.25">
      <c r="B3" s="124" t="s">
        <v>153</v>
      </c>
      <c r="C3" s="121">
        <v>6</v>
      </c>
    </row>
    <row r="4" spans="2:8" ht="20.100000000000001" customHeight="1" x14ac:dyDescent="0.25"/>
    <row r="5" spans="2:8" ht="20.100000000000001" customHeight="1" x14ac:dyDescent="0.25">
      <c r="B5" s="123" t="s">
        <v>274</v>
      </c>
      <c r="C5" s="123">
        <v>1</v>
      </c>
    </row>
    <row r="6" spans="2:8" ht="15.95" customHeight="1" x14ac:dyDescent="0.25"/>
    <row r="7" spans="2:8" ht="20.100000000000001" customHeight="1" x14ac:dyDescent="0.25">
      <c r="B7" s="186" t="s">
        <v>45</v>
      </c>
      <c r="C7" s="328">
        <v>1</v>
      </c>
      <c r="D7" s="329">
        <v>2</v>
      </c>
      <c r="E7" s="328">
        <v>9</v>
      </c>
      <c r="F7" s="328">
        <v>15</v>
      </c>
      <c r="G7" s="187"/>
      <c r="H7" s="132"/>
    </row>
    <row r="8" spans="2:8" ht="20.100000000000001" customHeight="1" x14ac:dyDescent="0.25">
      <c r="B8" s="120" t="s">
        <v>200</v>
      </c>
      <c r="C8" s="181">
        <v>1</v>
      </c>
      <c r="D8" s="181">
        <v>1</v>
      </c>
      <c r="E8" s="181">
        <v>2</v>
      </c>
      <c r="F8" s="181">
        <v>2</v>
      </c>
      <c r="G8" s="120"/>
      <c r="H8" s="132"/>
    </row>
    <row r="9" spans="2:8" ht="19.5" customHeight="1" x14ac:dyDescent="0.25">
      <c r="B9" s="120" t="s">
        <v>371</v>
      </c>
      <c r="C9" s="438">
        <v>2</v>
      </c>
      <c r="D9" s="438">
        <v>2</v>
      </c>
      <c r="E9" s="438">
        <v>2</v>
      </c>
      <c r="F9" s="438">
        <v>2</v>
      </c>
      <c r="G9" s="120"/>
      <c r="H9" s="132"/>
    </row>
    <row r="10" spans="2:8" ht="20.100000000000001" customHeight="1" x14ac:dyDescent="0.25">
      <c r="B10" s="120" t="s">
        <v>51</v>
      </c>
      <c r="C10" s="333">
        <v>3</v>
      </c>
      <c r="D10" s="333">
        <v>2.5</v>
      </c>
      <c r="E10" s="333">
        <v>2</v>
      </c>
      <c r="F10" s="333">
        <v>3</v>
      </c>
      <c r="G10" s="181" t="s">
        <v>47</v>
      </c>
    </row>
    <row r="11" spans="2:8" ht="20.100000000000001" customHeight="1" x14ac:dyDescent="0.25">
      <c r="B11" s="181" t="s">
        <v>52</v>
      </c>
      <c r="C11" s="333">
        <v>1000</v>
      </c>
      <c r="D11" s="333">
        <v>200</v>
      </c>
      <c r="E11" s="333">
        <v>500</v>
      </c>
      <c r="F11" s="333">
        <v>800</v>
      </c>
      <c r="G11" s="181" t="s">
        <v>48</v>
      </c>
      <c r="H11" s="22"/>
    </row>
    <row r="12" spans="2:8" ht="20.100000000000001" customHeight="1" x14ac:dyDescent="0.25">
      <c r="B12" s="181" t="s">
        <v>7</v>
      </c>
      <c r="C12" s="333">
        <v>60</v>
      </c>
      <c r="D12" s="333">
        <v>50</v>
      </c>
      <c r="E12" s="333">
        <v>0</v>
      </c>
      <c r="F12" s="333">
        <v>80</v>
      </c>
      <c r="G12" s="181" t="s">
        <v>49</v>
      </c>
      <c r="H12" s="22"/>
    </row>
    <row r="13" spans="2:8" ht="20.100000000000001" customHeight="1" x14ac:dyDescent="0.25">
      <c r="B13" s="181" t="s">
        <v>323</v>
      </c>
      <c r="C13" s="333">
        <v>0</v>
      </c>
      <c r="D13" s="333">
        <v>0</v>
      </c>
      <c r="E13" s="333">
        <v>0</v>
      </c>
      <c r="F13" s="333">
        <v>0</v>
      </c>
      <c r="G13" s="181" t="s">
        <v>326</v>
      </c>
      <c r="H13" s="22"/>
    </row>
    <row r="14" spans="2:8" ht="20.100000000000001" customHeight="1" x14ac:dyDescent="0.25">
      <c r="B14" s="181" t="s">
        <v>292</v>
      </c>
      <c r="C14" s="333">
        <v>0</v>
      </c>
      <c r="D14" s="333">
        <v>0</v>
      </c>
      <c r="E14" s="333">
        <v>0</v>
      </c>
      <c r="F14" s="333">
        <v>0</v>
      </c>
      <c r="G14" s="181" t="s">
        <v>49</v>
      </c>
      <c r="H14" s="22"/>
    </row>
    <row r="15" spans="2:8" ht="20.100000000000001" customHeight="1" x14ac:dyDescent="0.25">
      <c r="B15" s="181" t="s">
        <v>303</v>
      </c>
      <c r="C15" s="333">
        <v>500</v>
      </c>
      <c r="D15" s="333">
        <v>0</v>
      </c>
      <c r="E15" s="333">
        <v>500</v>
      </c>
      <c r="F15" s="333">
        <v>0</v>
      </c>
      <c r="G15" s="181" t="s">
        <v>369</v>
      </c>
      <c r="H15" s="22"/>
    </row>
    <row r="16" spans="2:8" ht="20.100000000000001" customHeight="1" x14ac:dyDescent="0.25">
      <c r="B16" s="181" t="s">
        <v>329</v>
      </c>
      <c r="C16" s="333">
        <v>1</v>
      </c>
      <c r="D16" s="333">
        <v>0</v>
      </c>
      <c r="E16" s="333">
        <v>1</v>
      </c>
      <c r="F16" s="333">
        <v>0</v>
      </c>
      <c r="G16" s="181" t="s">
        <v>341</v>
      </c>
      <c r="H16" s="22"/>
    </row>
    <row r="17" spans="2:13" ht="20.100000000000001" customHeight="1" x14ac:dyDescent="0.25">
      <c r="B17" s="330" t="s">
        <v>72</v>
      </c>
      <c r="C17" s="333">
        <v>1</v>
      </c>
      <c r="D17" s="333">
        <v>0</v>
      </c>
      <c r="E17" s="333">
        <v>0</v>
      </c>
      <c r="F17" s="333">
        <v>0</v>
      </c>
      <c r="G17" s="181" t="s">
        <v>161</v>
      </c>
      <c r="H17" s="22"/>
    </row>
    <row r="18" spans="2:13" ht="20.100000000000001" customHeight="1" x14ac:dyDescent="0.25">
      <c r="B18" s="120" t="s">
        <v>139</v>
      </c>
      <c r="C18" s="333">
        <v>2400.6999999999998</v>
      </c>
      <c r="D18" s="334"/>
      <c r="E18" s="334"/>
      <c r="F18" s="334"/>
      <c r="G18" s="181" t="s">
        <v>141</v>
      </c>
      <c r="H18" s="22"/>
    </row>
    <row r="19" spans="2:13" ht="20.100000000000001" customHeight="1" x14ac:dyDescent="0.25">
      <c r="B19" s="120" t="s">
        <v>330</v>
      </c>
      <c r="C19" s="333">
        <v>0</v>
      </c>
      <c r="D19" s="334"/>
      <c r="E19" s="334"/>
      <c r="F19" s="334"/>
      <c r="G19" s="181" t="s">
        <v>141</v>
      </c>
      <c r="H19" s="22"/>
    </row>
    <row r="20" spans="2:13" ht="20.100000000000001" customHeight="1" x14ac:dyDescent="0.25">
      <c r="B20" s="331" t="s">
        <v>140</v>
      </c>
      <c r="C20" s="335">
        <v>4000</v>
      </c>
      <c r="D20" s="336"/>
      <c r="E20" s="336"/>
      <c r="F20" s="336"/>
      <c r="G20" s="332" t="s">
        <v>142</v>
      </c>
      <c r="H20" s="22"/>
    </row>
    <row r="21" spans="2:13" ht="20.100000000000001" customHeight="1" x14ac:dyDescent="0.25">
      <c r="H21" s="22"/>
      <c r="K21" s="144"/>
    </row>
    <row r="22" spans="2:13" ht="20.100000000000001" customHeight="1" x14ac:dyDescent="0.25"/>
    <row r="23" spans="2:13" ht="20.100000000000001" customHeight="1" x14ac:dyDescent="0.25"/>
    <row r="24" spans="2:13" ht="20.100000000000001" customHeight="1" x14ac:dyDescent="0.25"/>
    <row r="25" spans="2:13" ht="20.100000000000001" customHeight="1" x14ac:dyDescent="0.25"/>
    <row r="26" spans="2:13" ht="20.100000000000001" customHeight="1" x14ac:dyDescent="0.25"/>
    <row r="27" spans="2:13" ht="20.100000000000001" customHeight="1" x14ac:dyDescent="0.25">
      <c r="M27" s="40"/>
    </row>
    <row r="28" spans="2:13" ht="20.100000000000001" customHeight="1" x14ac:dyDescent="0.25">
      <c r="M28" s="40"/>
    </row>
    <row r="29" spans="2:13" ht="20.100000000000001" customHeight="1" x14ac:dyDescent="0.25"/>
    <row r="30" spans="2:13" ht="20.100000000000001" customHeight="1" x14ac:dyDescent="0.25"/>
    <row r="31" spans="2:13" ht="20.100000000000001" customHeight="1" x14ac:dyDescent="0.25"/>
    <row r="32" spans="2:13" ht="20.100000000000001" customHeight="1" x14ac:dyDescent="0.25"/>
    <row r="33" ht="20.100000000000001" customHeight="1" x14ac:dyDescent="0.25"/>
    <row r="34" ht="20.100000000000001" customHeight="1" x14ac:dyDescent="0.25"/>
    <row r="35" ht="17.100000000000001" customHeight="1" x14ac:dyDescent="0.25"/>
    <row r="54" ht="16.5" customHeight="1" x14ac:dyDescent="0.25"/>
    <row r="70" spans="2:13" x14ac:dyDescent="0.25">
      <c r="B70" s="23"/>
      <c r="C70" s="23"/>
      <c r="D70" s="23"/>
      <c r="E70" s="23"/>
      <c r="F70" s="23"/>
      <c r="G70" s="23"/>
      <c r="L70" s="145"/>
      <c r="M70" s="135"/>
    </row>
    <row r="71" spans="2:13" x14ac:dyDescent="0.25">
      <c r="J71" s="23"/>
      <c r="K71" s="23"/>
      <c r="L71" s="23"/>
    </row>
    <row r="72" spans="2:13" x14ac:dyDescent="0.25">
      <c r="L72" s="146"/>
    </row>
  </sheetData>
  <sheetProtection sheet="1" objects="1" scenarios="1"/>
  <mergeCells count="1">
    <mergeCell ref="D1:E1"/>
  </mergeCells>
  <phoneticPr fontId="6" type="noConversion"/>
  <pageMargins left="0.75" right="0.75" top="1" bottom="1" header="0.5" footer="0.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89" r:id="rId4" name="Drop Down 37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1" r:id="rId5" name="Drop Down 39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238125</xdr:rowOff>
                  </from>
                  <to>
                    <xdr:col>4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2" r:id="rId6" name="Drop Down 40">
              <controlPr defaultSize="0" autoFill="0" autoLine="0" autoPict="0">
                <anchor moveWithCells="1">
                  <from>
                    <xdr:col>4</xdr:col>
                    <xdr:colOff>28575</xdr:colOff>
                    <xdr:row>6</xdr:row>
                    <xdr:rowOff>238125</xdr:rowOff>
                  </from>
                  <to>
                    <xdr:col>5</xdr:col>
                    <xdr:colOff>28575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3" r:id="rId7" name="Drop Down 4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238125</xdr:rowOff>
                  </from>
                  <to>
                    <xdr:col>6</xdr:col>
                    <xdr:colOff>28575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7" r:id="rId8" name="Drop Down 45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0</xdr:rowOff>
                  </from>
                  <to>
                    <xdr:col>2</xdr:col>
                    <xdr:colOff>1247775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8" r:id="rId9" name="Drop Down 4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</xdr:row>
                    <xdr:rowOff>28575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9" r:id="rId10" name="Drop Down 47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0" r:id="rId11" name="Drop Down 48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9525</xdr:rowOff>
                  </from>
                  <to>
                    <xdr:col>4</xdr:col>
                    <xdr:colOff>9525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1" r:id="rId12" name="Drop Down 49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28575</xdr:rowOff>
                  </from>
                  <to>
                    <xdr:col>5</xdr:col>
                    <xdr:colOff>28575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2" r:id="rId13" name="Drop Down 50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9525</xdr:rowOff>
                  </from>
                  <to>
                    <xdr:col>6</xdr:col>
                    <xdr:colOff>28575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7" r:id="rId14" name="Drop Down 55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2</xdr:row>
                    <xdr:rowOff>38100</xdr:rowOff>
                  </from>
                  <to>
                    <xdr:col>3</xdr:col>
                    <xdr:colOff>9525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8" r:id="rId15" name="Drop Down 56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9525</xdr:rowOff>
                  </from>
                  <to>
                    <xdr:col>4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9" r:id="rId16" name="Drop Down 57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0</xdr:rowOff>
                  </from>
                  <to>
                    <xdr:col>5</xdr:col>
                    <xdr:colOff>38100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0" r:id="rId17" name="Drop Down 58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6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elect Crop1">
          <x14:formula1>
            <xm:f>'Crop Residues'!$C$41:$C$56</xm:f>
          </x14:formula1>
          <xm:sqref>C7</xm:sqref>
        </x14:dataValidation>
        <x14:dataValidation type="list" allowBlank="1" showInputMessage="1" showErrorMessage="1" promptTitle="Select Crop2">
          <x14:formula1>
            <xm:f>'Crop Residues'!$C$41:$C$56</xm:f>
          </x14:formula1>
          <xm:sqref>D7</xm:sqref>
        </x14:dataValidation>
        <x14:dataValidation type="list" allowBlank="1" showInputMessage="1" showErrorMessage="1" promptTitle="Select Crop3">
          <x14:formula1>
            <xm:f>'Crop Residues'!$C$41:$C$56</xm:f>
          </x14:formula1>
          <xm:sqref>E7</xm:sqref>
        </x14:dataValidation>
        <x14:dataValidation type="list" allowBlank="1" showInputMessage="1" showErrorMessage="1" promptTitle="Select crop4">
          <x14:formula1>
            <xm:f>'Crop Residues'!$C$41:$C$56</xm:f>
          </x14:formula1>
          <xm:sqref>F7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17"/>
  <sheetViews>
    <sheetView showGridLines="0" showRowColHeaders="0" workbookViewId="0"/>
  </sheetViews>
  <sheetFormatPr defaultColWidth="8.85546875" defaultRowHeight="12" x14ac:dyDescent="0.2"/>
  <cols>
    <col min="1" max="1" width="2.7109375" customWidth="1"/>
    <col min="2" max="2" width="20.28515625" customWidth="1"/>
    <col min="3" max="3" width="6.42578125" customWidth="1"/>
    <col min="4" max="7" width="11.28515625" customWidth="1"/>
    <col min="8" max="8" width="10" customWidth="1"/>
  </cols>
  <sheetData>
    <row r="1" spans="2:16" ht="18" x14ac:dyDescent="0.25">
      <c r="B1" s="11" t="s">
        <v>10</v>
      </c>
    </row>
    <row r="3" spans="2:16" ht="12.75" x14ac:dyDescent="0.2">
      <c r="B3" s="1" t="s">
        <v>0</v>
      </c>
      <c r="C3" s="10" t="s">
        <v>25</v>
      </c>
      <c r="D3" s="2" t="s">
        <v>1</v>
      </c>
      <c r="E3" s="7" t="s">
        <v>2</v>
      </c>
      <c r="F3" s="2" t="s">
        <v>3</v>
      </c>
      <c r="G3" s="2" t="s">
        <v>11</v>
      </c>
      <c r="J3" s="6"/>
      <c r="K3" s="6"/>
      <c r="L3" s="6"/>
      <c r="M3" s="8"/>
      <c r="N3" s="8"/>
      <c r="O3" s="8"/>
      <c r="P3" s="6"/>
    </row>
    <row r="4" spans="2:16" x14ac:dyDescent="0.2">
      <c r="B4" t="s">
        <v>4</v>
      </c>
      <c r="C4" s="5" t="s">
        <v>5</v>
      </c>
      <c r="D4" s="15" t="e">
        <f>'Data summary'!#REF!+'Data summary'!#REF!+'Data summary'!#REF!+'Data summary'!#REF!</f>
        <v>#REF!</v>
      </c>
      <c r="E4" s="15" t="e">
        <f>'Data summary'!#REF!+'Data summary'!#REF!+'Data summary'!#REF!+'Data summary'!#REF!</f>
        <v>#REF!</v>
      </c>
      <c r="F4" s="15" t="e">
        <f>'Data summary'!#REF!+'Data summary'!#REF!+'Data summary'!#REF!+'Data summary'!#REF!</f>
        <v>#REF!</v>
      </c>
      <c r="J4" s="6"/>
      <c r="K4" s="6"/>
      <c r="L4" s="6"/>
      <c r="M4" s="8"/>
      <c r="N4" s="8"/>
      <c r="O4" s="8"/>
      <c r="P4" s="6"/>
    </row>
    <row r="5" spans="2:16" x14ac:dyDescent="0.2">
      <c r="B5" t="s">
        <v>12</v>
      </c>
      <c r="C5" s="3" t="s">
        <v>23</v>
      </c>
      <c r="D5">
        <v>38.6</v>
      </c>
      <c r="E5">
        <v>34.200000000000003</v>
      </c>
      <c r="F5">
        <v>25.7</v>
      </c>
    </row>
    <row r="6" spans="2:16" x14ac:dyDescent="0.2">
      <c r="B6" t="s">
        <v>13</v>
      </c>
      <c r="C6" s="3" t="s">
        <v>24</v>
      </c>
      <c r="D6" s="6" t="e">
        <f>D4*D5</f>
        <v>#REF!</v>
      </c>
      <c r="E6" s="6" t="e">
        <f>E4*E5</f>
        <v>#REF!</v>
      </c>
      <c r="F6" s="6" t="e">
        <f>F4*F5</f>
        <v>#REF!</v>
      </c>
    </row>
    <row r="7" spans="2:16" x14ac:dyDescent="0.2">
      <c r="B7" s="4" t="s">
        <v>14</v>
      </c>
      <c r="C7" s="3" t="s">
        <v>8</v>
      </c>
      <c r="D7">
        <v>0.99</v>
      </c>
      <c r="E7">
        <v>0.99</v>
      </c>
      <c r="F7">
        <v>0.99</v>
      </c>
    </row>
    <row r="8" spans="2:16" x14ac:dyDescent="0.2">
      <c r="B8" s="16" t="s">
        <v>15</v>
      </c>
    </row>
    <row r="9" spans="2:16" ht="15.75" x14ac:dyDescent="0.3">
      <c r="B9" s="4" t="s">
        <v>16</v>
      </c>
      <c r="C9" s="3" t="s">
        <v>17</v>
      </c>
      <c r="D9">
        <v>69.7</v>
      </c>
      <c r="E9" s="9">
        <v>66</v>
      </c>
      <c r="F9">
        <v>59.4</v>
      </c>
    </row>
    <row r="10" spans="2:16" ht="15.75" x14ac:dyDescent="0.3">
      <c r="B10" s="4" t="s">
        <v>18</v>
      </c>
      <c r="C10" s="3" t="s">
        <v>17</v>
      </c>
      <c r="D10">
        <v>0.01</v>
      </c>
      <c r="E10">
        <v>0.38</v>
      </c>
      <c r="F10">
        <v>2.1999999999999999E-2</v>
      </c>
    </row>
    <row r="11" spans="2:16" ht="15.75" x14ac:dyDescent="0.3">
      <c r="B11" s="4" t="s">
        <v>19</v>
      </c>
      <c r="C11" s="3" t="s">
        <v>17</v>
      </c>
      <c r="D11">
        <v>2E-3</v>
      </c>
      <c r="E11">
        <v>8.9999999999999998E-4</v>
      </c>
      <c r="F11">
        <v>1E-3</v>
      </c>
    </row>
    <row r="12" spans="2:16" x14ac:dyDescent="0.2">
      <c r="B12" s="16" t="s">
        <v>20</v>
      </c>
      <c r="C12" s="3"/>
    </row>
    <row r="13" spans="2:16" ht="15.75" x14ac:dyDescent="0.3">
      <c r="B13" s="4" t="s">
        <v>16</v>
      </c>
      <c r="C13" s="3" t="s">
        <v>9</v>
      </c>
      <c r="D13" s="6" t="e">
        <f>D6*D7*D9/1000</f>
        <v>#REF!</v>
      </c>
      <c r="E13" s="6" t="e">
        <f>E6*E7*E9/1000</f>
        <v>#REF!</v>
      </c>
      <c r="F13" s="6" t="e">
        <f>F6*F7*F9/1000</f>
        <v>#REF!</v>
      </c>
      <c r="G13" s="8" t="e">
        <f>SUM(D13:F13)</f>
        <v>#REF!</v>
      </c>
    </row>
    <row r="14" spans="2:16" ht="15.75" x14ac:dyDescent="0.3">
      <c r="B14" s="4" t="s">
        <v>18</v>
      </c>
      <c r="C14" s="3" t="s">
        <v>9</v>
      </c>
      <c r="D14" s="6" t="e">
        <f>D6*D7*D10/1000</f>
        <v>#REF!</v>
      </c>
      <c r="E14" s="6" t="e">
        <f>E6*E7*E10/1000</f>
        <v>#REF!</v>
      </c>
      <c r="F14" s="6" t="e">
        <f>F6*F7*F10/1000</f>
        <v>#REF!</v>
      </c>
      <c r="G14" s="8" t="e">
        <f>SUM(D14:F14)</f>
        <v>#REF!</v>
      </c>
    </row>
    <row r="15" spans="2:16" ht="15.75" x14ac:dyDescent="0.3">
      <c r="B15" s="4" t="s">
        <v>19</v>
      </c>
      <c r="C15" s="3" t="s">
        <v>9</v>
      </c>
      <c r="D15" s="6" t="e">
        <f>D6*D7*D11/1000</f>
        <v>#REF!</v>
      </c>
      <c r="E15" s="6" t="e">
        <f>E6*E7*E11/1000</f>
        <v>#REF!</v>
      </c>
      <c r="F15" s="6" t="e">
        <f>F6*F7*F11/1000</f>
        <v>#REF!</v>
      </c>
      <c r="G15" s="8" t="e">
        <f>SUM(D15:F15)</f>
        <v>#REF!</v>
      </c>
    </row>
    <row r="16" spans="2:16" ht="13.5" thickBot="1" x14ac:dyDescent="0.25">
      <c r="B16" s="13" t="s">
        <v>21</v>
      </c>
      <c r="C16" s="14" t="s">
        <v>6</v>
      </c>
      <c r="D16" s="12" t="e">
        <f>(D13+D14*21+D15*310)/1000</f>
        <v>#REF!</v>
      </c>
      <c r="E16" s="12" t="e">
        <f>(E13+E14*21+E15*310)/1000</f>
        <v>#REF!</v>
      </c>
      <c r="F16" s="12" t="e">
        <f>(F13+F14*21+F15*310)/1000</f>
        <v>#REF!</v>
      </c>
      <c r="G16" s="12" t="e">
        <f>SUM(D16:F16)</f>
        <v>#REF!</v>
      </c>
    </row>
    <row r="17" ht="12.75" thickTop="1" x14ac:dyDescent="0.2"/>
  </sheetData>
  <sheetProtection sheet="1" objects="1" scenarios="1"/>
  <phoneticPr fontId="6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showGridLines="0" workbookViewId="0"/>
  </sheetViews>
  <sheetFormatPr defaultColWidth="9" defaultRowHeight="15.75" x14ac:dyDescent="0.25"/>
  <cols>
    <col min="1" max="1" width="3.7109375" style="17" customWidth="1"/>
    <col min="2" max="2" width="39.85546875" style="17" customWidth="1"/>
    <col min="3" max="6" width="18.85546875" style="17" customWidth="1"/>
    <col min="7" max="7" width="21.28515625" style="17" customWidth="1"/>
    <col min="8" max="8" width="21.7109375" style="17" customWidth="1"/>
    <col min="9" max="9" width="17.28515625" style="17" customWidth="1"/>
    <col min="10" max="10" width="18.42578125" style="17" customWidth="1"/>
    <col min="11" max="11" width="14.42578125" style="17" customWidth="1"/>
    <col min="12" max="16384" width="9" style="17"/>
  </cols>
  <sheetData>
    <row r="1" spans="2:10" ht="27" customHeight="1" x14ac:dyDescent="0.3">
      <c r="B1" s="44" t="s">
        <v>147</v>
      </c>
    </row>
    <row r="3" spans="2:10" x14ac:dyDescent="0.25">
      <c r="B3" s="62" t="s">
        <v>53</v>
      </c>
      <c r="C3" s="281" t="str">
        <f>'Crop Residues'!C3</f>
        <v>Wheat</v>
      </c>
      <c r="D3" s="281" t="str">
        <f>'Crop Residues'!D3</f>
        <v>Barley</v>
      </c>
      <c r="E3" s="281" t="str">
        <f>'Crop Residues'!E3</f>
        <v>Pulses</v>
      </c>
      <c r="F3" s="281" t="str">
        <f>'Crop Residues'!F3</f>
        <v>Oilseeds</v>
      </c>
      <c r="G3" s="62" t="s">
        <v>25</v>
      </c>
      <c r="H3" s="117" t="s">
        <v>148</v>
      </c>
      <c r="I3" s="134" t="s">
        <v>163</v>
      </c>
      <c r="J3" s="117" t="s">
        <v>178</v>
      </c>
    </row>
    <row r="4" spans="2:10" x14ac:dyDescent="0.25">
      <c r="B4" s="38"/>
      <c r="C4" s="38"/>
      <c r="D4" s="38"/>
      <c r="E4" s="38"/>
      <c r="F4" s="38"/>
      <c r="G4" s="38"/>
      <c r="H4" s="110"/>
      <c r="I4" s="110"/>
      <c r="J4" s="110"/>
    </row>
    <row r="5" spans="2:10" x14ac:dyDescent="0.25">
      <c r="B5" s="340" t="s">
        <v>219</v>
      </c>
      <c r="C5" s="341"/>
      <c r="D5" s="38"/>
      <c r="E5" s="38"/>
      <c r="F5" s="38"/>
      <c r="G5" s="38"/>
      <c r="H5" s="110"/>
      <c r="I5" s="110"/>
      <c r="J5" s="110"/>
    </row>
    <row r="6" spans="2:10" x14ac:dyDescent="0.25">
      <c r="B6" s="341">
        <v>1</v>
      </c>
      <c r="C6" s="341" t="s">
        <v>217</v>
      </c>
      <c r="D6" s="38"/>
      <c r="E6" s="38"/>
      <c r="F6" s="38"/>
      <c r="G6" s="38"/>
      <c r="H6" s="110"/>
      <c r="I6" s="110"/>
      <c r="J6" s="110"/>
    </row>
    <row r="7" spans="2:10" x14ac:dyDescent="0.25">
      <c r="B7" s="341">
        <v>2</v>
      </c>
      <c r="C7" s="341" t="s">
        <v>218</v>
      </c>
      <c r="D7" s="38"/>
      <c r="E7" s="38"/>
      <c r="F7" s="38"/>
      <c r="G7" s="38"/>
      <c r="H7" s="110"/>
      <c r="I7" s="110"/>
      <c r="J7" s="110"/>
    </row>
    <row r="8" spans="2:10" x14ac:dyDescent="0.25">
      <c r="B8" s="38"/>
      <c r="C8" s="38"/>
      <c r="D8" s="38"/>
      <c r="E8" s="38"/>
      <c r="F8" s="38"/>
      <c r="G8" s="38"/>
      <c r="H8" s="110"/>
      <c r="I8" s="110"/>
      <c r="J8" s="110"/>
    </row>
    <row r="9" spans="2:10" x14ac:dyDescent="0.25">
      <c r="B9" s="288" t="s">
        <v>154</v>
      </c>
      <c r="C9" s="289" t="str">
        <f>INDEX(C64:C68,MATCH(C10,B64:B68,0))</f>
        <v>Non-Irrigated Crop</v>
      </c>
      <c r="D9" s="289" t="str">
        <f>INDEX(C64:C68,MATCH(D10,B64:B68,0))</f>
        <v>Non-Irrigated Crop</v>
      </c>
      <c r="E9" s="289" t="str">
        <f>INDEX(C64:C68,MATCH(E10,B64:B68,0))</f>
        <v>Irrigated Crop</v>
      </c>
      <c r="F9" s="289" t="str">
        <f>INDEX(C64:C68,MATCH(F10,B64:B68,0))</f>
        <v>Irrigated Crop</v>
      </c>
      <c r="G9" s="169"/>
      <c r="H9" s="110"/>
      <c r="I9" s="110"/>
      <c r="J9" s="110"/>
    </row>
    <row r="10" spans="2:10" x14ac:dyDescent="0.25">
      <c r="B10" s="290" t="s">
        <v>368</v>
      </c>
      <c r="C10" s="291">
        <f>'Data input'!C8</f>
        <v>1</v>
      </c>
      <c r="D10" s="291">
        <f>'Data input'!D8</f>
        <v>1</v>
      </c>
      <c r="E10" s="291">
        <f>'Data input'!E8</f>
        <v>2</v>
      </c>
      <c r="F10" s="291">
        <f>'Data input'!F8</f>
        <v>2</v>
      </c>
      <c r="G10" s="292"/>
      <c r="H10" s="112"/>
      <c r="I10" s="110"/>
      <c r="J10" s="110"/>
    </row>
    <row r="11" spans="2:10" x14ac:dyDescent="0.25">
      <c r="B11" s="53" t="s">
        <v>52</v>
      </c>
      <c r="C11" s="55">
        <f>'Data input'!C11</f>
        <v>1000</v>
      </c>
      <c r="D11" s="55">
        <f>'Data input'!D11</f>
        <v>200</v>
      </c>
      <c r="E11" s="55">
        <f>'Data input'!E11</f>
        <v>500</v>
      </c>
      <c r="F11" s="55">
        <f>'Data input'!F11</f>
        <v>800</v>
      </c>
      <c r="G11" s="59" t="str">
        <f>'Data input'!G11</f>
        <v>ha/farm</v>
      </c>
      <c r="H11" s="112"/>
      <c r="I11" s="110"/>
      <c r="J11" s="110"/>
    </row>
    <row r="12" spans="2:10" x14ac:dyDescent="0.25">
      <c r="B12" s="53" t="s">
        <v>116</v>
      </c>
      <c r="C12" s="55">
        <f>'Data input'!C12</f>
        <v>60</v>
      </c>
      <c r="D12" s="55">
        <f>'Data input'!D12</f>
        <v>50</v>
      </c>
      <c r="E12" s="55">
        <f>'Data input'!E12</f>
        <v>0</v>
      </c>
      <c r="F12" s="55">
        <f>'Data input'!F12</f>
        <v>80</v>
      </c>
      <c r="G12" s="59" t="str">
        <f>'Data input'!G12</f>
        <v>kg N/ha</v>
      </c>
      <c r="H12" s="112"/>
      <c r="I12" s="110"/>
      <c r="J12" s="110"/>
    </row>
    <row r="13" spans="2:10" x14ac:dyDescent="0.25">
      <c r="B13" s="53" t="s">
        <v>106</v>
      </c>
      <c r="C13" s="55">
        <f>C11*C12*10^-6</f>
        <v>0.06</v>
      </c>
      <c r="D13" s="55">
        <f>D11*D12*10^-6</f>
        <v>0.01</v>
      </c>
      <c r="E13" s="55">
        <f>E11*E12*10^-6</f>
        <v>0</v>
      </c>
      <c r="F13" s="55">
        <f>F11*F12*10^-6</f>
        <v>6.4000000000000001E-2</v>
      </c>
      <c r="G13" s="59" t="s">
        <v>33</v>
      </c>
      <c r="H13" s="112"/>
      <c r="I13" s="110"/>
      <c r="J13" s="110"/>
    </row>
    <row r="14" spans="2:10" x14ac:dyDescent="0.25">
      <c r="B14" s="64"/>
      <c r="C14" s="64"/>
      <c r="D14" s="64"/>
      <c r="E14" s="64"/>
      <c r="F14" s="64"/>
      <c r="G14" s="119"/>
      <c r="H14" s="112"/>
      <c r="I14" s="110"/>
      <c r="J14" s="110"/>
    </row>
    <row r="15" spans="2:10" x14ac:dyDescent="0.25">
      <c r="B15" s="63"/>
      <c r="C15" s="63"/>
      <c r="D15" s="63"/>
      <c r="E15" s="63"/>
      <c r="F15" s="63"/>
      <c r="G15" s="118"/>
      <c r="H15" s="112"/>
      <c r="I15" s="110"/>
      <c r="J15" s="110"/>
    </row>
    <row r="16" spans="2:10" x14ac:dyDescent="0.25">
      <c r="B16" s="60" t="s">
        <v>99</v>
      </c>
      <c r="C16" s="55"/>
      <c r="D16" s="56"/>
      <c r="E16" s="56"/>
      <c r="F16" s="53"/>
      <c r="G16" s="59"/>
      <c r="H16" s="112"/>
      <c r="I16" s="110"/>
      <c r="J16" s="110"/>
    </row>
    <row r="17" spans="2:16" x14ac:dyDescent="0.25">
      <c r="B17" s="60" t="s">
        <v>100</v>
      </c>
      <c r="C17" s="57" t="s">
        <v>101</v>
      </c>
      <c r="D17" s="55"/>
      <c r="E17" s="53"/>
      <c r="F17" s="56"/>
      <c r="G17" s="59"/>
      <c r="H17" s="111" t="s">
        <v>104</v>
      </c>
      <c r="I17" s="111" t="s">
        <v>164</v>
      </c>
      <c r="J17" s="111" t="s">
        <v>333</v>
      </c>
    </row>
    <row r="18" spans="2:16" x14ac:dyDescent="0.25">
      <c r="B18" s="81"/>
      <c r="C18" s="58" t="s">
        <v>102</v>
      </c>
      <c r="D18" s="58"/>
      <c r="E18" s="53"/>
      <c r="F18" s="53"/>
      <c r="G18" s="59"/>
      <c r="H18" s="113"/>
      <c r="I18" s="110"/>
      <c r="J18" s="110"/>
    </row>
    <row r="19" spans="2:16" x14ac:dyDescent="0.25">
      <c r="B19" s="53"/>
      <c r="C19" s="58" t="s">
        <v>103</v>
      </c>
      <c r="D19" s="58"/>
      <c r="E19" s="53"/>
      <c r="F19" s="53"/>
      <c r="G19" s="59"/>
      <c r="H19" s="111" t="s">
        <v>105</v>
      </c>
      <c r="I19" s="110"/>
      <c r="J19" s="110"/>
    </row>
    <row r="20" spans="2:16" x14ac:dyDescent="0.25">
      <c r="B20" s="81"/>
      <c r="C20" s="55"/>
      <c r="D20" s="59"/>
      <c r="E20" s="58"/>
      <c r="F20" s="58"/>
      <c r="G20" s="65"/>
      <c r="H20" s="112"/>
      <c r="I20" s="110"/>
      <c r="J20" s="110"/>
      <c r="K20" s="19"/>
      <c r="L20" s="19"/>
      <c r="M20" s="19"/>
      <c r="N20" s="19"/>
      <c r="O20" s="19"/>
      <c r="P20" s="19"/>
    </row>
    <row r="21" spans="2:16" x14ac:dyDescent="0.25">
      <c r="B21" s="60" t="s">
        <v>107</v>
      </c>
      <c r="C21" s="60" t="s">
        <v>108</v>
      </c>
      <c r="D21" s="58"/>
      <c r="E21" s="58"/>
      <c r="F21" s="53"/>
      <c r="G21" s="65"/>
      <c r="H21" s="111" t="s">
        <v>109</v>
      </c>
      <c r="I21" s="111" t="s">
        <v>165</v>
      </c>
      <c r="J21" s="111" t="s">
        <v>334</v>
      </c>
      <c r="K21" s="19"/>
      <c r="L21" s="19"/>
      <c r="M21" s="19"/>
      <c r="N21" s="19"/>
      <c r="O21" s="19"/>
      <c r="P21" s="19"/>
    </row>
    <row r="22" spans="2:16" x14ac:dyDescent="0.25">
      <c r="B22" s="53"/>
      <c r="C22" s="55" t="s">
        <v>90</v>
      </c>
      <c r="D22" s="65">
        <f>'GWP Factors'!C15</f>
        <v>1.5714285714285714</v>
      </c>
      <c r="E22" s="38"/>
      <c r="F22" s="53"/>
      <c r="G22" s="59"/>
      <c r="H22" s="110"/>
      <c r="I22" s="110"/>
      <c r="J22" s="110"/>
      <c r="K22" s="19"/>
      <c r="L22" s="19"/>
      <c r="M22" s="19"/>
      <c r="N22" s="19"/>
      <c r="O22" s="19"/>
      <c r="P22" s="19"/>
    </row>
    <row r="23" spans="2:16" x14ac:dyDescent="0.25">
      <c r="B23" s="53"/>
      <c r="C23" s="55"/>
      <c r="D23" s="65"/>
      <c r="E23" s="38"/>
      <c r="F23" s="53"/>
      <c r="G23" s="59"/>
      <c r="H23" s="110"/>
      <c r="I23" s="110"/>
      <c r="J23" s="110"/>
      <c r="K23" s="19"/>
      <c r="L23" s="19"/>
      <c r="M23" s="19"/>
      <c r="N23" s="19"/>
      <c r="O23" s="19"/>
      <c r="P23" s="19"/>
    </row>
    <row r="24" spans="2:16" ht="31.5" x14ac:dyDescent="0.25">
      <c r="B24" s="79" t="s">
        <v>154</v>
      </c>
      <c r="C24" s="165" t="s">
        <v>373</v>
      </c>
      <c r="D24" s="165" t="s">
        <v>375</v>
      </c>
      <c r="E24" s="173" t="s">
        <v>299</v>
      </c>
      <c r="F24" s="55"/>
      <c r="G24" s="59"/>
      <c r="H24" s="111" t="s">
        <v>110</v>
      </c>
      <c r="I24" s="111" t="s">
        <v>175</v>
      </c>
      <c r="J24" s="111" t="s">
        <v>336</v>
      </c>
      <c r="K24" s="19"/>
      <c r="L24" s="19"/>
      <c r="M24" s="19"/>
      <c r="N24" s="19"/>
      <c r="O24" s="19"/>
      <c r="P24" s="19"/>
    </row>
    <row r="25" spans="2:16" x14ac:dyDescent="0.25">
      <c r="B25" s="79" t="s">
        <v>374</v>
      </c>
      <c r="C25" s="342">
        <v>1</v>
      </c>
      <c r="D25" s="342">
        <v>2</v>
      </c>
      <c r="E25" s="172"/>
      <c r="F25" s="55"/>
      <c r="G25" s="59"/>
      <c r="H25" s="111"/>
      <c r="I25" s="111"/>
      <c r="J25" s="111"/>
      <c r="K25" s="19"/>
      <c r="L25" s="19"/>
      <c r="M25" s="19"/>
      <c r="N25" s="19"/>
      <c r="O25" s="19"/>
      <c r="P25" s="19"/>
    </row>
    <row r="26" spans="2:16" x14ac:dyDescent="0.25">
      <c r="B26" s="343" t="s">
        <v>372</v>
      </c>
      <c r="C26" s="38">
        <v>2E-3</v>
      </c>
      <c r="D26" s="38">
        <v>8.5000000000000006E-3</v>
      </c>
      <c r="E26" s="78">
        <v>1</v>
      </c>
      <c r="F26" s="38"/>
      <c r="G26" s="59"/>
      <c r="H26" s="111"/>
      <c r="I26" s="111"/>
      <c r="J26" s="111"/>
      <c r="K26" s="19"/>
      <c r="L26" s="19"/>
      <c r="M26" s="19"/>
      <c r="N26" s="19"/>
      <c r="O26" s="19"/>
      <c r="P26" s="19"/>
    </row>
    <row r="27" spans="2:16" x14ac:dyDescent="0.25">
      <c r="B27" s="343" t="s">
        <v>220</v>
      </c>
      <c r="C27" s="38">
        <v>8.5000000000000006E-3</v>
      </c>
      <c r="D27" s="38">
        <v>8.5000000000000006E-3</v>
      </c>
      <c r="E27" s="78">
        <v>2</v>
      </c>
      <c r="F27" s="38"/>
      <c r="G27" s="59"/>
      <c r="H27" s="114"/>
      <c r="I27" s="110"/>
      <c r="J27" s="110"/>
    </row>
    <row r="28" spans="2:16" x14ac:dyDescent="0.25">
      <c r="B28" s="343" t="s">
        <v>40</v>
      </c>
      <c r="C28" s="38">
        <v>1.9900000000000001E-2</v>
      </c>
      <c r="D28" s="38">
        <v>1.9900000000000001E-2</v>
      </c>
      <c r="E28" s="78">
        <v>3</v>
      </c>
      <c r="F28" s="38"/>
      <c r="G28" s="59"/>
      <c r="H28" s="110"/>
      <c r="I28" s="110"/>
      <c r="J28" s="110"/>
    </row>
    <row r="29" spans="2:16" x14ac:dyDescent="0.25">
      <c r="B29" s="343" t="s">
        <v>176</v>
      </c>
      <c r="C29" s="38">
        <v>5.4999999999999997E-3</v>
      </c>
      <c r="D29" s="38">
        <v>5.4999999999999997E-3</v>
      </c>
      <c r="E29" s="78">
        <v>4</v>
      </c>
      <c r="F29" s="38"/>
      <c r="G29" s="59"/>
      <c r="H29" s="110"/>
      <c r="I29" s="110"/>
      <c r="J29" s="110"/>
    </row>
    <row r="30" spans="2:16" x14ac:dyDescent="0.25">
      <c r="B30" s="344" t="s">
        <v>155</v>
      </c>
      <c r="C30" s="407">
        <v>8.5000000000000006E-3</v>
      </c>
      <c r="D30" s="407">
        <v>8.5000000000000006E-3</v>
      </c>
      <c r="E30" s="171">
        <v>5</v>
      </c>
      <c r="F30" s="38"/>
      <c r="G30" s="59"/>
      <c r="H30" s="110"/>
      <c r="I30" s="110"/>
      <c r="J30" s="110"/>
    </row>
    <row r="31" spans="2:16" x14ac:dyDescent="0.25">
      <c r="B31" s="79" t="s">
        <v>162</v>
      </c>
      <c r="C31" s="165">
        <v>0</v>
      </c>
      <c r="D31" s="165">
        <v>0</v>
      </c>
      <c r="E31" s="172"/>
      <c r="F31" s="38"/>
      <c r="G31" s="59"/>
      <c r="H31" s="110"/>
      <c r="I31" s="110"/>
      <c r="J31" s="110"/>
    </row>
    <row r="32" spans="2:16" x14ac:dyDescent="0.25">
      <c r="B32" s="38"/>
      <c r="C32" s="38"/>
      <c r="D32" s="38"/>
      <c r="E32" s="38"/>
      <c r="F32" s="38"/>
      <c r="G32" s="59"/>
      <c r="H32" s="110"/>
      <c r="I32" s="110"/>
      <c r="J32" s="110"/>
    </row>
    <row r="33" spans="2:10" x14ac:dyDescent="0.25">
      <c r="B33" s="288"/>
      <c r="C33" s="345" t="str">
        <f>C3</f>
        <v>Wheat</v>
      </c>
      <c r="D33" s="345" t="str">
        <f>D3</f>
        <v>Barley</v>
      </c>
      <c r="E33" s="345" t="str">
        <f>E3</f>
        <v>Pulses</v>
      </c>
      <c r="F33" s="346" t="str">
        <f>F3</f>
        <v>Oilseeds</v>
      </c>
      <c r="G33" s="59"/>
      <c r="H33" s="110"/>
      <c r="I33" s="110"/>
      <c r="J33" s="110"/>
    </row>
    <row r="34" spans="2:10" x14ac:dyDescent="0.25">
      <c r="B34" s="343" t="s">
        <v>200</v>
      </c>
      <c r="C34" s="55" t="str">
        <f>C9</f>
        <v>Non-Irrigated Crop</v>
      </c>
      <c r="D34" s="55" t="str">
        <f>D9</f>
        <v>Non-Irrigated Crop</v>
      </c>
      <c r="E34" s="55" t="str">
        <f>E9</f>
        <v>Irrigated Crop</v>
      </c>
      <c r="F34" s="347" t="str">
        <f>F9</f>
        <v>Irrigated Crop</v>
      </c>
      <c r="G34" s="59"/>
      <c r="H34" s="110"/>
      <c r="I34" s="110"/>
      <c r="J34" s="110"/>
    </row>
    <row r="35" spans="2:10" x14ac:dyDescent="0.25">
      <c r="B35" s="344" t="s">
        <v>374</v>
      </c>
      <c r="C35" s="291">
        <f>'Data input'!C9</f>
        <v>2</v>
      </c>
      <c r="D35" s="291">
        <f>'Data input'!D9</f>
        <v>2</v>
      </c>
      <c r="E35" s="291">
        <f>'Data input'!E9</f>
        <v>2</v>
      </c>
      <c r="F35" s="348">
        <f>'Data input'!F9</f>
        <v>2</v>
      </c>
      <c r="G35" s="59"/>
      <c r="H35" s="110"/>
      <c r="I35" s="110"/>
      <c r="J35" s="110"/>
    </row>
    <row r="36" spans="2:10" x14ac:dyDescent="0.25">
      <c r="B36" s="54" t="s">
        <v>372</v>
      </c>
      <c r="C36" s="55">
        <f>INDEX(C26:D26,MATCH(C35,C25:D25,0))</f>
        <v>8.5000000000000006E-3</v>
      </c>
      <c r="D36" s="55">
        <f>INDEX(C26:D26,MATCH(D35,C25:D25,0))</f>
        <v>8.5000000000000006E-3</v>
      </c>
      <c r="E36" s="55">
        <f>INDEX(C26:D26,MATCH(E35,C25:D25,0))</f>
        <v>8.5000000000000006E-3</v>
      </c>
      <c r="F36" s="347">
        <f>INDEX(C26:D26,MATCH(F35,C25:D25,0))</f>
        <v>8.5000000000000006E-3</v>
      </c>
      <c r="G36" s="59"/>
      <c r="H36" s="110"/>
      <c r="I36" s="110"/>
      <c r="J36" s="110"/>
    </row>
    <row r="37" spans="2:10" x14ac:dyDescent="0.25">
      <c r="B37" s="54" t="s">
        <v>220</v>
      </c>
      <c r="C37" s="55">
        <f>INDEX($C$27:$D$27,MATCH(C35,$C$25:$D$25,0))</f>
        <v>8.5000000000000006E-3</v>
      </c>
      <c r="D37" s="55">
        <f t="shared" ref="D37:F37" si="0">INDEX($C$27:$D$27,MATCH(D35,$C$25:$D$25,0))</f>
        <v>8.5000000000000006E-3</v>
      </c>
      <c r="E37" s="55">
        <f t="shared" si="0"/>
        <v>8.5000000000000006E-3</v>
      </c>
      <c r="F37" s="347">
        <f t="shared" si="0"/>
        <v>8.5000000000000006E-3</v>
      </c>
      <c r="G37" s="59"/>
      <c r="H37" s="110"/>
      <c r="I37" s="110"/>
      <c r="J37" s="110"/>
    </row>
    <row r="38" spans="2:10" x14ac:dyDescent="0.25">
      <c r="B38" s="54" t="s">
        <v>40</v>
      </c>
      <c r="C38" s="55">
        <f>INDEX(C28:D28,MATCH(C35,C25:D25,0))</f>
        <v>1.9900000000000001E-2</v>
      </c>
      <c r="D38" s="55">
        <f>INDEX($C$27:$D$27,MATCH(D35,$C$25:$D$25,0))</f>
        <v>8.5000000000000006E-3</v>
      </c>
      <c r="E38" s="55">
        <f>INDEX($C$27:$D$27,MATCH(E35,$C$25:$D$25,0))</f>
        <v>8.5000000000000006E-3</v>
      </c>
      <c r="F38" s="347">
        <f>INDEX($C$27:$D$27,MATCH(F35,$C$25:$D$25,0))</f>
        <v>8.5000000000000006E-3</v>
      </c>
      <c r="G38" s="59"/>
      <c r="H38" s="110"/>
      <c r="I38" s="110"/>
      <c r="J38" s="110"/>
    </row>
    <row r="39" spans="2:10" x14ac:dyDescent="0.25">
      <c r="B39" s="54" t="s">
        <v>176</v>
      </c>
      <c r="C39" s="55">
        <f>INDEX(C29:D29,MATCH(C35,C25:D25,0))</f>
        <v>5.4999999999999997E-3</v>
      </c>
      <c r="D39" s="55">
        <f>INDEX($C$27:$D$27,MATCH(D35,$C$25:$D$25,0))</f>
        <v>8.5000000000000006E-3</v>
      </c>
      <c r="E39" s="55">
        <f>INDEX($C$27:$D$27,MATCH(E35,$C$25:$D$25,0))</f>
        <v>8.5000000000000006E-3</v>
      </c>
      <c r="F39" s="347">
        <f>INDEX($C$27:$D$27,MATCH(F35,$C$25:$D$25,0))</f>
        <v>8.5000000000000006E-3</v>
      </c>
      <c r="G39" s="59"/>
      <c r="H39" s="110"/>
      <c r="I39" s="110"/>
      <c r="J39" s="110"/>
    </row>
    <row r="40" spans="2:10" x14ac:dyDescent="0.25">
      <c r="B40" s="54" t="s">
        <v>155</v>
      </c>
      <c r="C40" s="55">
        <f>INDEX(C30:D30,MATCH(C35,C25:D25,))</f>
        <v>8.5000000000000006E-3</v>
      </c>
      <c r="D40" s="55">
        <f>INDEX($C$27:$D$27,MATCH(D35,$C$25:$D$25,0))</f>
        <v>8.5000000000000006E-3</v>
      </c>
      <c r="E40" s="55">
        <f>INDEX($C$27:$D$27,MATCH(E35,$C$25:$D$25,0))</f>
        <v>8.5000000000000006E-3</v>
      </c>
      <c r="F40" s="347">
        <f>INDEX($C$27:$D$27,MATCH(F35,$C$25:$D$25,0))</f>
        <v>8.5000000000000006E-3</v>
      </c>
      <c r="G40" s="59"/>
      <c r="H40" s="110"/>
      <c r="I40" s="110"/>
      <c r="J40" s="110"/>
    </row>
    <row r="41" spans="2:10" x14ac:dyDescent="0.25">
      <c r="B41" s="79" t="s">
        <v>376</v>
      </c>
      <c r="C41" s="281">
        <f>INDEX(C36:C40,MATCH(C34,$B$36:$B$40,0))</f>
        <v>8.5000000000000006E-3</v>
      </c>
      <c r="D41" s="281">
        <f t="shared" ref="D41:F41" si="1">INDEX(D36:D40,MATCH(D34,$B$36:$B$40,0))</f>
        <v>8.5000000000000006E-3</v>
      </c>
      <c r="E41" s="281">
        <f t="shared" si="1"/>
        <v>8.5000000000000006E-3</v>
      </c>
      <c r="F41" s="349">
        <f t="shared" si="1"/>
        <v>8.5000000000000006E-3</v>
      </c>
      <c r="G41" s="59"/>
      <c r="H41" s="110"/>
      <c r="I41" s="110"/>
      <c r="J41" s="110"/>
    </row>
    <row r="42" spans="2:10" x14ac:dyDescent="0.25">
      <c r="B42" s="38"/>
      <c r="C42" s="38"/>
      <c r="D42" s="38"/>
      <c r="E42" s="38"/>
      <c r="F42" s="38"/>
      <c r="G42" s="59"/>
      <c r="H42" s="110"/>
      <c r="I42" s="110"/>
      <c r="J42" s="110"/>
    </row>
    <row r="43" spans="2:10" x14ac:dyDescent="0.25">
      <c r="B43" s="81"/>
      <c r="C43" s="61">
        <f>C13*C41*$D$22</f>
        <v>8.0142857142857142E-4</v>
      </c>
      <c r="D43" s="61">
        <f t="shared" ref="D43:F43" si="2">D13*D41*$D$22</f>
        <v>1.3357142857142859E-4</v>
      </c>
      <c r="E43" s="61">
        <f t="shared" si="2"/>
        <v>0</v>
      </c>
      <c r="F43" s="61">
        <f t="shared" si="2"/>
        <v>8.5485714285714299E-4</v>
      </c>
      <c r="G43" s="59" t="s">
        <v>85</v>
      </c>
      <c r="H43" s="110"/>
      <c r="I43" s="110"/>
      <c r="J43" s="110"/>
    </row>
    <row r="44" spans="2:10" x14ac:dyDescent="0.25">
      <c r="B44" s="109" t="s">
        <v>11</v>
      </c>
      <c r="C44" s="61">
        <f>SUM(C43:F43)</f>
        <v>1.7898571428571429E-3</v>
      </c>
      <c r="D44" s="61"/>
      <c r="E44" s="61"/>
      <c r="F44" s="61"/>
      <c r="G44" s="59" t="s">
        <v>85</v>
      </c>
      <c r="H44" s="110"/>
      <c r="I44" s="110"/>
      <c r="J44" s="110"/>
    </row>
    <row r="45" spans="2:10" x14ac:dyDescent="0.25">
      <c r="B45" s="109" t="s">
        <v>11</v>
      </c>
      <c r="C45" s="56">
        <f>C44*'GWP Factors'!C6</f>
        <v>0.53337742857142856</v>
      </c>
      <c r="D45" s="56"/>
      <c r="E45" s="56"/>
      <c r="F45" s="56"/>
      <c r="G45" s="59" t="s">
        <v>159</v>
      </c>
      <c r="H45" s="110"/>
      <c r="I45" s="110"/>
      <c r="J45" s="110"/>
    </row>
    <row r="46" spans="2:10" x14ac:dyDescent="0.25">
      <c r="B46" s="115" t="s">
        <v>11</v>
      </c>
      <c r="C46" s="174">
        <f>C45*10^3</f>
        <v>533.3774285714286</v>
      </c>
      <c r="D46" s="63"/>
      <c r="E46" s="63"/>
      <c r="F46" s="63"/>
      <c r="G46" s="175" t="s">
        <v>83</v>
      </c>
      <c r="H46" s="116"/>
      <c r="I46" s="116"/>
      <c r="J46" s="116"/>
    </row>
    <row r="47" spans="2:10" x14ac:dyDescent="0.25">
      <c r="B47" s="38"/>
      <c r="C47" s="38"/>
      <c r="D47" s="38"/>
      <c r="E47" s="38"/>
      <c r="F47" s="38"/>
      <c r="G47" s="38"/>
      <c r="H47" s="110"/>
      <c r="I47" s="110"/>
      <c r="J47" s="110"/>
    </row>
    <row r="48" spans="2:10" x14ac:dyDescent="0.25">
      <c r="B48" s="60" t="s">
        <v>195</v>
      </c>
      <c r="C48" s="38"/>
      <c r="D48" s="38"/>
      <c r="E48" s="38"/>
      <c r="F48" s="38"/>
      <c r="G48" s="38"/>
      <c r="H48" s="110"/>
      <c r="I48" s="110"/>
      <c r="J48" s="110"/>
    </row>
    <row r="49" spans="2:10" x14ac:dyDescent="0.25">
      <c r="B49" s="38"/>
      <c r="C49" s="38"/>
      <c r="D49" s="38"/>
      <c r="E49" s="38"/>
      <c r="F49" s="38"/>
      <c r="G49" s="38"/>
      <c r="H49" s="110"/>
      <c r="I49" s="110"/>
      <c r="J49" s="110"/>
    </row>
    <row r="50" spans="2:10" x14ac:dyDescent="0.25">
      <c r="B50" s="38"/>
      <c r="C50" s="38" t="s">
        <v>87</v>
      </c>
      <c r="D50" s="38"/>
      <c r="E50" s="38"/>
      <c r="F50" s="38"/>
      <c r="G50" s="38"/>
      <c r="H50" s="110"/>
      <c r="I50" s="111" t="s">
        <v>196</v>
      </c>
      <c r="J50" s="111" t="s">
        <v>337</v>
      </c>
    </row>
    <row r="51" spans="2:10" x14ac:dyDescent="0.25">
      <c r="B51" s="38"/>
      <c r="C51" s="38" t="s">
        <v>88</v>
      </c>
      <c r="D51" s="38">
        <v>8.9999999999999998E-4</v>
      </c>
      <c r="E51" s="38"/>
      <c r="F51" s="38"/>
      <c r="G51" s="38" t="s">
        <v>89</v>
      </c>
      <c r="H51" s="110"/>
      <c r="I51" s="111"/>
      <c r="J51" s="111"/>
    </row>
    <row r="52" spans="2:10" x14ac:dyDescent="0.25">
      <c r="B52" s="38"/>
      <c r="C52" s="38" t="s">
        <v>43</v>
      </c>
      <c r="D52" s="164">
        <f>'GWP Factors'!C15</f>
        <v>1.5714285714285714</v>
      </c>
      <c r="E52" s="38"/>
      <c r="F52" s="38"/>
      <c r="G52" s="38"/>
      <c r="H52" s="110"/>
      <c r="I52" s="110"/>
      <c r="J52" s="110"/>
    </row>
    <row r="53" spans="2:10" x14ac:dyDescent="0.25">
      <c r="B53" s="38"/>
      <c r="C53" s="38"/>
      <c r="D53" s="38"/>
      <c r="E53" s="38"/>
      <c r="F53" s="38"/>
      <c r="G53" s="38"/>
      <c r="H53" s="110"/>
      <c r="I53" s="110"/>
      <c r="J53" s="110"/>
    </row>
    <row r="54" spans="2:10" x14ac:dyDescent="0.25">
      <c r="B54" s="38" t="s">
        <v>197</v>
      </c>
      <c r="C54" s="38"/>
      <c r="D54" s="38"/>
      <c r="E54" s="38"/>
      <c r="F54" s="38"/>
      <c r="G54" s="38"/>
      <c r="H54" s="110"/>
      <c r="I54" s="110"/>
      <c r="J54" s="110"/>
    </row>
    <row r="55" spans="2:10" x14ac:dyDescent="0.25">
      <c r="B55" s="38" t="s">
        <v>293</v>
      </c>
      <c r="C55" s="38" t="str">
        <f>C3</f>
        <v>Wheat</v>
      </c>
      <c r="D55" s="38" t="str">
        <f>D3</f>
        <v>Barley</v>
      </c>
      <c r="E55" s="38" t="str">
        <f>E3</f>
        <v>Pulses</v>
      </c>
      <c r="F55" s="38" t="str">
        <f>F3</f>
        <v>Oilseeds</v>
      </c>
      <c r="G55" s="38"/>
      <c r="H55" s="110"/>
      <c r="I55" s="110"/>
      <c r="J55" s="110"/>
    </row>
    <row r="56" spans="2:10" x14ac:dyDescent="0.25">
      <c r="B56" s="38" t="s">
        <v>294</v>
      </c>
      <c r="C56" s="38">
        <f>'Data input'!C14*10^-3</f>
        <v>0</v>
      </c>
      <c r="D56" s="38">
        <f>'Data input'!D14*10^-3</f>
        <v>0</v>
      </c>
      <c r="E56" s="38">
        <f>'Data input'!E14*10^-3</f>
        <v>0</v>
      </c>
      <c r="F56" s="38">
        <f>'Data input'!F14*10^-3</f>
        <v>0</v>
      </c>
      <c r="G56" s="59" t="s">
        <v>33</v>
      </c>
      <c r="H56" s="110"/>
      <c r="I56" s="110"/>
      <c r="J56" s="110"/>
    </row>
    <row r="57" spans="2:10" x14ac:dyDescent="0.25">
      <c r="B57" s="38"/>
      <c r="C57" s="38">
        <f>C56*$D$51*$D$52</f>
        <v>0</v>
      </c>
      <c r="D57" s="38">
        <f t="shared" ref="D57:F57" si="3">D56*$D$51*$D$52</f>
        <v>0</v>
      </c>
      <c r="E57" s="38">
        <f t="shared" si="3"/>
        <v>0</v>
      </c>
      <c r="F57" s="38">
        <f t="shared" si="3"/>
        <v>0</v>
      </c>
      <c r="G57" s="59" t="s">
        <v>89</v>
      </c>
      <c r="H57" s="110"/>
      <c r="I57" s="110"/>
      <c r="J57" s="110"/>
    </row>
    <row r="58" spans="2:10" x14ac:dyDescent="0.25">
      <c r="B58" s="109" t="s">
        <v>11</v>
      </c>
      <c r="C58" s="38">
        <f>SUM(C57:F57)</f>
        <v>0</v>
      </c>
      <c r="D58" s="38"/>
      <c r="E58" s="38"/>
      <c r="F58" s="38"/>
      <c r="G58" s="59" t="s">
        <v>159</v>
      </c>
      <c r="H58" s="110"/>
      <c r="I58" s="110"/>
      <c r="J58" s="110"/>
    </row>
    <row r="59" spans="2:10" x14ac:dyDescent="0.25">
      <c r="B59" s="109" t="s">
        <v>11</v>
      </c>
      <c r="C59" s="38">
        <f>C58*'GWP Factors'!C6</f>
        <v>0</v>
      </c>
      <c r="D59" s="38"/>
      <c r="E59" s="38"/>
      <c r="F59" s="38"/>
      <c r="G59" s="59" t="s">
        <v>159</v>
      </c>
      <c r="H59" s="110"/>
      <c r="I59" s="110"/>
      <c r="J59" s="110"/>
    </row>
    <row r="60" spans="2:10" x14ac:dyDescent="0.25">
      <c r="B60" s="115" t="s">
        <v>11</v>
      </c>
      <c r="C60" s="170">
        <f>C59*10^3</f>
        <v>0</v>
      </c>
      <c r="D60" s="170"/>
      <c r="E60" s="170"/>
      <c r="F60" s="170"/>
      <c r="G60" s="175" t="s">
        <v>83</v>
      </c>
      <c r="H60" s="116"/>
      <c r="I60" s="116"/>
      <c r="J60" s="116"/>
    </row>
    <row r="61" spans="2:10" x14ac:dyDescent="0.25">
      <c r="B61" s="165" t="s">
        <v>295</v>
      </c>
      <c r="C61" s="166">
        <f>C60+C46</f>
        <v>533.3774285714286</v>
      </c>
      <c r="D61" s="165"/>
      <c r="E61" s="165"/>
      <c r="F61" s="165"/>
      <c r="G61" s="167" t="s">
        <v>83</v>
      </c>
      <c r="H61" s="134"/>
      <c r="I61" s="134"/>
      <c r="J61" s="134"/>
    </row>
    <row r="63" spans="2:10" x14ac:dyDescent="0.25">
      <c r="B63" s="142" t="s">
        <v>200</v>
      </c>
      <c r="C63" s="143"/>
      <c r="D63" s="218"/>
    </row>
    <row r="64" spans="2:10" x14ac:dyDescent="0.25">
      <c r="B64" s="139">
        <f>Fertiliser!E26</f>
        <v>1</v>
      </c>
      <c r="C64" s="19" t="str">
        <f>Fertiliser!B26</f>
        <v>Non-Irrigated Crop</v>
      </c>
      <c r="D64" s="220"/>
    </row>
    <row r="65" spans="2:5" x14ac:dyDescent="0.25">
      <c r="B65" s="139">
        <f>Fertiliser!E27</f>
        <v>2</v>
      </c>
      <c r="C65" s="19" t="str">
        <f>Fertiliser!B27</f>
        <v>Irrigated Crop</v>
      </c>
      <c r="D65" s="220"/>
    </row>
    <row r="66" spans="2:5" x14ac:dyDescent="0.25">
      <c r="B66" s="139">
        <f>Fertiliser!E28</f>
        <v>3</v>
      </c>
      <c r="C66" s="19" t="str">
        <f>Fertiliser!B28</f>
        <v>Sugar cane</v>
      </c>
      <c r="D66" s="220"/>
    </row>
    <row r="67" spans="2:5" x14ac:dyDescent="0.25">
      <c r="B67" s="139">
        <f>Fertiliser!E29</f>
        <v>4</v>
      </c>
      <c r="C67" s="19" t="str">
        <f>Fertiliser!B29</f>
        <v>Cotton</v>
      </c>
      <c r="D67" s="220"/>
    </row>
    <row r="68" spans="2:5" x14ac:dyDescent="0.25">
      <c r="B68" s="287">
        <f>Fertiliser!E30</f>
        <v>5</v>
      </c>
      <c r="C68" s="222" t="str">
        <f>Fertiliser!B30</f>
        <v>Horticulture</v>
      </c>
      <c r="D68" s="223"/>
    </row>
    <row r="69" spans="2:5" x14ac:dyDescent="0.25">
      <c r="D69" s="123"/>
      <c r="E69" s="123"/>
    </row>
    <row r="73" spans="2:5" x14ac:dyDescent="0.25">
      <c r="B73" s="123"/>
      <c r="C73" s="123"/>
      <c r="D73" s="123"/>
      <c r="E73" s="123"/>
    </row>
  </sheetData>
  <sheetProtection sheet="1" objects="1" scenarios="1"/>
  <pageMargins left="0.7" right="0.7" top="0.75" bottom="0.75" header="0.3" footer="0.3"/>
  <pageSetup paperSize="9" orientation="portrait"/>
  <ignoredErrors>
    <ignoredError sqref="C36 C38:F40 D36:F36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/>
  </sheetViews>
  <sheetFormatPr defaultColWidth="9" defaultRowHeight="15.75" x14ac:dyDescent="0.25"/>
  <cols>
    <col min="1" max="1" width="3.7109375" style="411" customWidth="1"/>
    <col min="2" max="2" width="39.85546875" style="411" customWidth="1"/>
    <col min="3" max="6" width="18.85546875" style="411" customWidth="1"/>
    <col min="7" max="7" width="14.140625" style="411" customWidth="1"/>
    <col min="8" max="8" width="21.7109375" style="411" customWidth="1"/>
    <col min="9" max="9" width="17.28515625" style="411" customWidth="1"/>
    <col min="10" max="10" width="17.42578125" style="411" customWidth="1"/>
    <col min="11" max="16384" width="9" style="411"/>
  </cols>
  <sheetData>
    <row r="1" spans="2:10" ht="27" customHeight="1" x14ac:dyDescent="0.3">
      <c r="B1" s="408" t="s">
        <v>319</v>
      </c>
    </row>
    <row r="3" spans="2:10" x14ac:dyDescent="0.25">
      <c r="B3" s="227" t="s">
        <v>53</v>
      </c>
      <c r="C3" s="228" t="str">
        <f>'Crop Residues'!C3</f>
        <v>Wheat</v>
      </c>
      <c r="D3" s="228" t="str">
        <f>'Crop Residues'!D3</f>
        <v>Barley</v>
      </c>
      <c r="E3" s="228" t="str">
        <f>'Crop Residues'!E3</f>
        <v>Pulses</v>
      </c>
      <c r="F3" s="228" t="str">
        <f>'Crop Residues'!F3</f>
        <v>Oilseeds</v>
      </c>
      <c r="G3" s="229" t="s">
        <v>25</v>
      </c>
      <c r="H3" s="253" t="s">
        <v>148</v>
      </c>
      <c r="I3" s="254" t="s">
        <v>163</v>
      </c>
      <c r="J3" s="253" t="s">
        <v>178</v>
      </c>
    </row>
    <row r="4" spans="2:10" x14ac:dyDescent="0.25">
      <c r="B4" s="230"/>
      <c r="C4" s="231"/>
      <c r="D4" s="231"/>
      <c r="E4" s="231"/>
      <c r="F4" s="231"/>
      <c r="G4" s="230"/>
      <c r="H4" s="255"/>
      <c r="I4" s="255"/>
      <c r="J4" s="255"/>
    </row>
    <row r="5" spans="2:10" x14ac:dyDescent="0.25">
      <c r="B5" s="232" t="s">
        <v>154</v>
      </c>
      <c r="C5" s="233" t="str">
        <f>Fertiliser!C9</f>
        <v>Non-Irrigated Crop</v>
      </c>
      <c r="D5" s="233" t="str">
        <f>Fertiliser!D9</f>
        <v>Non-Irrigated Crop</v>
      </c>
      <c r="E5" s="233" t="str">
        <f>Fertiliser!E9</f>
        <v>Irrigated Crop</v>
      </c>
      <c r="F5" s="233" t="str">
        <f>Fertiliser!F9</f>
        <v>Irrigated Crop</v>
      </c>
      <c r="G5" s="234"/>
      <c r="H5" s="256"/>
      <c r="I5" s="255"/>
      <c r="J5" s="255"/>
    </row>
    <row r="6" spans="2:10" x14ac:dyDescent="0.25">
      <c r="B6" s="235" t="s">
        <v>52</v>
      </c>
      <c r="C6" s="231">
        <f>'Data input'!C11</f>
        <v>1000</v>
      </c>
      <c r="D6" s="231">
        <f>'Data input'!D11</f>
        <v>200</v>
      </c>
      <c r="E6" s="231">
        <f>'Data input'!E11</f>
        <v>500</v>
      </c>
      <c r="F6" s="231">
        <f>'Data input'!F11</f>
        <v>800</v>
      </c>
      <c r="G6" s="236" t="str">
        <f>'Data input'!G11</f>
        <v>ha/farm</v>
      </c>
      <c r="H6" s="256"/>
      <c r="I6" s="255"/>
      <c r="J6" s="255"/>
    </row>
    <row r="7" spans="2:10" x14ac:dyDescent="0.25">
      <c r="B7" s="235" t="s">
        <v>116</v>
      </c>
      <c r="C7" s="231">
        <f>'Data input'!C13</f>
        <v>0</v>
      </c>
      <c r="D7" s="231">
        <f>'Data input'!D13</f>
        <v>0</v>
      </c>
      <c r="E7" s="231">
        <f>'Data input'!E13</f>
        <v>0</v>
      </c>
      <c r="F7" s="231">
        <f>'Data input'!F13</f>
        <v>0</v>
      </c>
      <c r="G7" s="236" t="str">
        <f>'Data input'!G13</f>
        <v>kg Urea /ha</v>
      </c>
      <c r="H7" s="256"/>
      <c r="I7" s="255"/>
      <c r="J7" s="255"/>
    </row>
    <row r="8" spans="2:10" x14ac:dyDescent="0.25">
      <c r="B8" s="235" t="s">
        <v>106</v>
      </c>
      <c r="C8" s="231">
        <f>C6*C7*10^-3</f>
        <v>0</v>
      </c>
      <c r="D8" s="231">
        <f>D6*D7*10^-3</f>
        <v>0</v>
      </c>
      <c r="E8" s="231">
        <f>E6*E7*10^-3</f>
        <v>0</v>
      </c>
      <c r="F8" s="231">
        <f>F6*F7*10^-3</f>
        <v>0</v>
      </c>
      <c r="G8" s="236" t="s">
        <v>325</v>
      </c>
      <c r="H8" s="256"/>
      <c r="I8" s="255"/>
      <c r="J8" s="255"/>
    </row>
    <row r="9" spans="2:10" x14ac:dyDescent="0.25">
      <c r="B9" s="237"/>
      <c r="C9" s="237"/>
      <c r="D9" s="237"/>
      <c r="E9" s="237"/>
      <c r="F9" s="237"/>
      <c r="G9" s="238"/>
      <c r="H9" s="256"/>
      <c r="I9" s="255"/>
      <c r="J9" s="255"/>
    </row>
    <row r="10" spans="2:10" x14ac:dyDescent="0.25">
      <c r="B10" s="239"/>
      <c r="C10" s="239"/>
      <c r="D10" s="239"/>
      <c r="E10" s="239"/>
      <c r="F10" s="239"/>
      <c r="G10" s="240"/>
      <c r="H10" s="256"/>
      <c r="I10" s="255"/>
      <c r="J10" s="255"/>
    </row>
    <row r="11" spans="2:10" x14ac:dyDescent="0.25">
      <c r="B11" s="241" t="s">
        <v>99</v>
      </c>
      <c r="C11" s="231"/>
      <c r="D11" s="242"/>
      <c r="E11" s="242"/>
      <c r="F11" s="235"/>
      <c r="G11" s="236"/>
      <c r="H11" s="256"/>
      <c r="I11" s="255"/>
      <c r="J11" s="255"/>
    </row>
    <row r="12" spans="2:10" x14ac:dyDescent="0.25">
      <c r="B12" s="241" t="s">
        <v>100</v>
      </c>
      <c r="C12" s="243" t="s">
        <v>339</v>
      </c>
      <c r="D12" s="231"/>
      <c r="E12" s="235"/>
      <c r="F12" s="242"/>
      <c r="G12" s="236"/>
      <c r="H12" s="257"/>
      <c r="I12" s="257" t="s">
        <v>338</v>
      </c>
      <c r="J12" s="257" t="s">
        <v>337</v>
      </c>
    </row>
    <row r="13" spans="2:10" x14ac:dyDescent="0.25">
      <c r="B13" s="244"/>
      <c r="C13" s="245" t="s">
        <v>320</v>
      </c>
      <c r="D13" s="245"/>
      <c r="E13" s="235"/>
      <c r="F13" s="235"/>
      <c r="G13" s="236"/>
      <c r="H13" s="258"/>
      <c r="I13" s="255"/>
      <c r="J13" s="255"/>
    </row>
    <row r="14" spans="2:10" x14ac:dyDescent="0.25">
      <c r="B14" s="235"/>
      <c r="C14" s="245" t="s">
        <v>321</v>
      </c>
      <c r="D14" s="245">
        <v>0.2</v>
      </c>
      <c r="E14" s="235"/>
      <c r="F14" s="235"/>
      <c r="G14" s="236"/>
      <c r="H14" s="257"/>
      <c r="I14" s="255"/>
      <c r="J14" s="255"/>
    </row>
    <row r="15" spans="2:10" x14ac:dyDescent="0.25">
      <c r="B15" s="235"/>
      <c r="C15" s="244" t="s">
        <v>322</v>
      </c>
      <c r="D15" s="245">
        <f>'GWP Factors'!C13</f>
        <v>3.6666666666666665</v>
      </c>
      <c r="E15" s="245"/>
      <c r="F15" s="235"/>
      <c r="G15" s="236"/>
      <c r="H15" s="256"/>
      <c r="I15" s="255"/>
      <c r="J15" s="255"/>
    </row>
    <row r="16" spans="2:10" x14ac:dyDescent="0.25">
      <c r="B16" s="235"/>
      <c r="C16" s="246">
        <f>(C8*$D$14*$D$15)*10^-3</f>
        <v>0</v>
      </c>
      <c r="D16" s="246">
        <f t="shared" ref="D16:F16" si="0">(D8*$D$14*$D$15)*10^-3</f>
        <v>0</v>
      </c>
      <c r="E16" s="246">
        <f t="shared" si="0"/>
        <v>0</v>
      </c>
      <c r="F16" s="246">
        <f t="shared" si="0"/>
        <v>0</v>
      </c>
      <c r="G16" s="236" t="s">
        <v>324</v>
      </c>
      <c r="H16" s="256"/>
      <c r="I16" s="255"/>
      <c r="J16" s="255"/>
    </row>
    <row r="17" spans="2:10" x14ac:dyDescent="0.25">
      <c r="B17" s="244"/>
      <c r="C17" s="231"/>
      <c r="D17" s="236"/>
      <c r="E17" s="245"/>
      <c r="F17" s="245"/>
      <c r="G17" s="247"/>
      <c r="H17" s="256"/>
      <c r="I17" s="255"/>
      <c r="J17" s="255"/>
    </row>
    <row r="18" spans="2:10" x14ac:dyDescent="0.25">
      <c r="B18" s="248" t="s">
        <v>11</v>
      </c>
      <c r="C18" s="242">
        <f>SUM(C16:F16)</f>
        <v>0</v>
      </c>
      <c r="D18" s="249"/>
      <c r="E18" s="249"/>
      <c r="F18" s="249"/>
      <c r="G18" s="236" t="str">
        <f>G16</f>
        <v>Gg CO2e</v>
      </c>
      <c r="H18" s="255"/>
      <c r="I18" s="255"/>
      <c r="J18" s="255"/>
    </row>
    <row r="19" spans="2:10" x14ac:dyDescent="0.25">
      <c r="B19" s="248"/>
      <c r="C19" s="242"/>
      <c r="D19" s="242"/>
      <c r="E19" s="242"/>
      <c r="F19" s="242"/>
      <c r="G19" s="236"/>
      <c r="H19" s="255"/>
      <c r="I19" s="255"/>
      <c r="J19" s="255"/>
    </row>
    <row r="20" spans="2:10" x14ac:dyDescent="0.25">
      <c r="B20" s="250" t="s">
        <v>11</v>
      </c>
      <c r="C20" s="251">
        <f>C18*10^3</f>
        <v>0</v>
      </c>
      <c r="D20" s="239"/>
      <c r="E20" s="239"/>
      <c r="F20" s="239"/>
      <c r="G20" s="252" t="s">
        <v>83</v>
      </c>
      <c r="H20" s="259"/>
      <c r="I20" s="259"/>
      <c r="J20" s="259"/>
    </row>
  </sheetData>
  <sheetProtection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77"/>
  <sheetViews>
    <sheetView showGridLines="0" workbookViewId="0"/>
  </sheetViews>
  <sheetFormatPr defaultColWidth="9.140625" defaultRowHeight="15.75" x14ac:dyDescent="0.25"/>
  <cols>
    <col min="1" max="1" width="3.140625" style="19" customWidth="1"/>
    <col min="2" max="2" width="53.140625" style="19" customWidth="1"/>
    <col min="3" max="6" width="18.85546875" style="19" customWidth="1"/>
    <col min="7" max="7" width="33.28515625" style="19" customWidth="1"/>
    <col min="8" max="8" width="22" style="19" customWidth="1"/>
    <col min="9" max="9" width="20.28515625" style="19" customWidth="1"/>
    <col min="10" max="10" width="20.7109375" style="19" customWidth="1"/>
    <col min="11" max="11" width="9.140625" style="19"/>
    <col min="12" max="12" width="36.85546875" style="19" customWidth="1"/>
    <col min="13" max="13" width="9.140625" style="19"/>
    <col min="14" max="14" width="15.140625" style="19" bestFit="1" customWidth="1"/>
    <col min="15" max="18" width="9.140625" style="19"/>
    <col min="19" max="19" width="15.7109375" style="19" customWidth="1"/>
    <col min="20" max="16384" width="9.140625" style="19"/>
  </cols>
  <sheetData>
    <row r="1" spans="2:10" ht="27" customHeight="1" x14ac:dyDescent="0.3">
      <c r="B1" s="18" t="s">
        <v>91</v>
      </c>
      <c r="G1" s="69"/>
    </row>
    <row r="3" spans="2:10" x14ac:dyDescent="0.25">
      <c r="B3" s="274" t="s">
        <v>53</v>
      </c>
      <c r="C3" s="275" t="str">
        <f>INDEX(C41:C56,MATCH('Data input'!C7,'Crop Residues'!B41:B56,0))</f>
        <v>Wheat</v>
      </c>
      <c r="D3" s="275" t="str">
        <f>INDEX(C41:C56,MATCH('Data input'!D7,'Crop Residues'!B41:B56,0))</f>
        <v>Barley</v>
      </c>
      <c r="E3" s="275" t="str">
        <f>INDEX(C41:C56,MATCH('Data input'!E7,'Crop Residues'!B41:B56,0))</f>
        <v>Pulses</v>
      </c>
      <c r="F3" s="275" t="str">
        <f>INDEX(C41:C56,MATCH('Data input'!F7,'Crop Residues'!B41:B56,0))</f>
        <v>Oilseeds</v>
      </c>
      <c r="G3" s="274"/>
      <c r="H3" s="276" t="s">
        <v>148</v>
      </c>
      <c r="I3" s="277" t="s">
        <v>163</v>
      </c>
      <c r="J3" s="277" t="s">
        <v>178</v>
      </c>
    </row>
    <row r="4" spans="2:10" x14ac:dyDescent="0.25">
      <c r="B4" s="104" t="s">
        <v>200</v>
      </c>
      <c r="C4" s="278" t="str">
        <f>Fertiliser!C9</f>
        <v>Non-Irrigated Crop</v>
      </c>
      <c r="D4" s="278" t="str">
        <f>Fertiliser!D9</f>
        <v>Non-Irrigated Crop</v>
      </c>
      <c r="E4" s="278" t="str">
        <f>Fertiliser!E9</f>
        <v>Irrigated Crop</v>
      </c>
      <c r="F4" s="278" t="str">
        <f>Fertiliser!F9</f>
        <v>Irrigated Crop</v>
      </c>
      <c r="G4" s="104"/>
      <c r="H4" s="279"/>
      <c r="I4" s="280"/>
      <c r="J4" s="280"/>
    </row>
    <row r="5" spans="2:10" x14ac:dyDescent="0.25">
      <c r="B5" s="51"/>
      <c r="C5" s="51"/>
      <c r="D5" s="51"/>
      <c r="E5" s="51"/>
      <c r="F5" s="51"/>
      <c r="G5" s="51"/>
      <c r="H5" s="100"/>
      <c r="I5" s="99"/>
      <c r="J5" s="99"/>
    </row>
    <row r="6" spans="2:10" x14ac:dyDescent="0.25">
      <c r="B6" s="52" t="s">
        <v>221</v>
      </c>
      <c r="C6" s="350">
        <f>('Data input'!C10*'Data input'!C11)/1000</f>
        <v>3</v>
      </c>
      <c r="D6" s="350">
        <f>('Data input'!D10*'Data input'!D11)/1000</f>
        <v>0.5</v>
      </c>
      <c r="E6" s="350">
        <f>('Data input'!E10*'Data input'!E11)/1000</f>
        <v>1</v>
      </c>
      <c r="F6" s="350">
        <f>('Data input'!F10*'Data input'!F11)/1000</f>
        <v>2.4</v>
      </c>
      <c r="G6" s="106" t="s">
        <v>340</v>
      </c>
      <c r="H6" s="101" t="s">
        <v>68</v>
      </c>
      <c r="I6" s="101" t="s">
        <v>190</v>
      </c>
      <c r="J6" s="137" t="s">
        <v>335</v>
      </c>
    </row>
    <row r="7" spans="2:10" x14ac:dyDescent="0.25">
      <c r="B7" s="52" t="s">
        <v>222</v>
      </c>
      <c r="C7" s="190">
        <f>INDEX(D41:D56,MATCH(C3,C41:C56,0))</f>
        <v>1.5</v>
      </c>
      <c r="D7" s="190">
        <f>INDEX(D41:D56,MATCH(D3,C41:C56,0))</f>
        <v>1.24</v>
      </c>
      <c r="E7" s="190">
        <f>INDEX(D41:D56,MATCH(E3,C41:C56,0))</f>
        <v>1.37</v>
      </c>
      <c r="F7" s="190">
        <f>INDEX(D41:D56,MATCH(F3,C41:C56,0))</f>
        <v>2.1</v>
      </c>
      <c r="G7" s="106" t="s">
        <v>181</v>
      </c>
      <c r="H7" s="101" t="s">
        <v>68</v>
      </c>
      <c r="I7" s="101" t="s">
        <v>190</v>
      </c>
      <c r="J7" s="137" t="s">
        <v>335</v>
      </c>
    </row>
    <row r="8" spans="2:10" x14ac:dyDescent="0.25">
      <c r="B8" s="52" t="s">
        <v>234</v>
      </c>
      <c r="C8" s="190">
        <f>INDEX(E41:E56,MATCH(C3,C41:C56,0))</f>
        <v>0.28999999999999998</v>
      </c>
      <c r="D8" s="190">
        <f>INDEX(E41:E56,MATCH(D3,C41:C56,0))</f>
        <v>0.32</v>
      </c>
      <c r="E8" s="190">
        <f>INDEX(E41:E56,MATCH(E3,C41:C56,0))</f>
        <v>0.51</v>
      </c>
      <c r="F8" s="190">
        <f>INDEX(E41:E56,MATCH(F3,C41:C56,0))</f>
        <v>0.33</v>
      </c>
      <c r="G8" s="106" t="s">
        <v>184</v>
      </c>
      <c r="H8" s="101" t="s">
        <v>68</v>
      </c>
      <c r="I8" s="101" t="s">
        <v>190</v>
      </c>
      <c r="J8" s="137" t="s">
        <v>335</v>
      </c>
    </row>
    <row r="9" spans="2:10" x14ac:dyDescent="0.25">
      <c r="B9" s="52" t="s">
        <v>235</v>
      </c>
      <c r="C9" s="190">
        <f>INDEX(F41:F56,MATCH(C3,C41:C56,0))</f>
        <v>0.88</v>
      </c>
      <c r="D9" s="190">
        <f>INDEX(F41:F56,MATCH(D3,C41:C56,0))</f>
        <v>0.88</v>
      </c>
      <c r="E9" s="190">
        <f>INDEX(F41:F56,MATCH(E3,C41:C56,0))</f>
        <v>0.87</v>
      </c>
      <c r="F9" s="190">
        <f>INDEX(F41:F56,MATCH(F3,C41:C56,0))</f>
        <v>0.96</v>
      </c>
      <c r="G9" s="106" t="s">
        <v>186</v>
      </c>
      <c r="H9" s="101" t="s">
        <v>68</v>
      </c>
      <c r="I9" s="101" t="s">
        <v>190</v>
      </c>
      <c r="J9" s="137" t="s">
        <v>335</v>
      </c>
    </row>
    <row r="10" spans="2:10" x14ac:dyDescent="0.25">
      <c r="B10" s="52" t="s">
        <v>239</v>
      </c>
      <c r="C10" s="190">
        <f>INDEX(H41:H56,MATCH(C3,C41:C56,0))</f>
        <v>6.0000000000000001E-3</v>
      </c>
      <c r="D10" s="190">
        <f>INDEX(H41:H56,MATCH(D3,C41:C56,0))</f>
        <v>7.0000000000000001E-3</v>
      </c>
      <c r="E10" s="190">
        <f>INDEX(H41:H56,MATCH(E3,C41:C56,0))</f>
        <v>8.9999999999999993E-3</v>
      </c>
      <c r="F10" s="190">
        <f>INDEX(H41:H56,MATCH(F3,C41:C56,0))</f>
        <v>8.9999999999999993E-3</v>
      </c>
      <c r="G10" s="106" t="s">
        <v>187</v>
      </c>
      <c r="H10" s="101" t="s">
        <v>68</v>
      </c>
      <c r="I10" s="101" t="s">
        <v>190</v>
      </c>
      <c r="J10" s="137" t="s">
        <v>335</v>
      </c>
    </row>
    <row r="11" spans="2:10" x14ac:dyDescent="0.25">
      <c r="B11" s="52" t="s">
        <v>238</v>
      </c>
      <c r="C11" s="190">
        <f>INDEX(I41:I56,MATCH(C3,C41:C56,0))</f>
        <v>0.01</v>
      </c>
      <c r="D11" s="190">
        <f>INDEX(I41:I56,MATCH(D3,C41:C56,0))</f>
        <v>0.01</v>
      </c>
      <c r="E11" s="190">
        <f>INDEX(I41:I56,MATCH(E3,C41:C56,0))</f>
        <v>0.01</v>
      </c>
      <c r="F11" s="190">
        <f>INDEX(I41:I56,MATCH(F3,C41:C56,0))</f>
        <v>0.01</v>
      </c>
      <c r="G11" s="106" t="s">
        <v>187</v>
      </c>
      <c r="H11" s="101" t="s">
        <v>68</v>
      </c>
      <c r="I11" s="101" t="s">
        <v>190</v>
      </c>
      <c r="J11" s="137" t="s">
        <v>335</v>
      </c>
    </row>
    <row r="12" spans="2:10" x14ac:dyDescent="0.25">
      <c r="B12" s="52" t="s">
        <v>236</v>
      </c>
      <c r="C12" s="190">
        <f>INDEX(K41:K56,MATCH(C3,C41:C56,0))</f>
        <v>0.21</v>
      </c>
      <c r="D12" s="190">
        <f>INDEX(K41:K56,MATCH(D3,C41:C56,0))</f>
        <v>0.21</v>
      </c>
      <c r="E12" s="190">
        <f>INDEX(K41:K56,MATCH(E3,C41:C56,0))</f>
        <v>0.21</v>
      </c>
      <c r="F12" s="190">
        <f>INDEX(K41:K56,MATCH(F3,C41:C56,0))</f>
        <v>0.21</v>
      </c>
      <c r="G12" s="106" t="s">
        <v>193</v>
      </c>
      <c r="H12" s="101" t="s">
        <v>68</v>
      </c>
      <c r="I12" s="101" t="s">
        <v>190</v>
      </c>
      <c r="J12" s="137" t="s">
        <v>335</v>
      </c>
    </row>
    <row r="13" spans="2:10" x14ac:dyDescent="0.25">
      <c r="B13" s="52" t="s">
        <v>237</v>
      </c>
      <c r="C13" s="190">
        <f>INDEX(L41:L56,MATCH(C3,C41:C56,0))</f>
        <v>7.0000000000000007E-2</v>
      </c>
      <c r="D13" s="190">
        <f>INDEX(L41:L56,MATCH(D3,C41:C56,0))</f>
        <v>7.0000000000000007E-2</v>
      </c>
      <c r="E13" s="190">
        <f>INDEX(L41:L56,MATCH(E3,C41:C56,0))</f>
        <v>7.0000000000000007E-2</v>
      </c>
      <c r="F13" s="190">
        <f>INDEX(L41:L56,MATCH(F3,C41:C56,0))</f>
        <v>7.0000000000000007E-2</v>
      </c>
      <c r="G13" s="106" t="s">
        <v>193</v>
      </c>
      <c r="H13" s="101" t="s">
        <v>68</v>
      </c>
      <c r="I13" s="101" t="s">
        <v>190</v>
      </c>
      <c r="J13" s="137" t="s">
        <v>335</v>
      </c>
    </row>
    <row r="14" spans="2:10" x14ac:dyDescent="0.25">
      <c r="B14" s="52" t="s">
        <v>228</v>
      </c>
      <c r="C14" s="190">
        <f>INDEX(J41:J56,MATCH(C3,C41:C56,0))</f>
        <v>0.5</v>
      </c>
      <c r="D14" s="190">
        <f>INDEX(J41:J56,MATCH(D3,C41:C56,0))</f>
        <v>0.5</v>
      </c>
      <c r="E14" s="190">
        <f>INDEX(J41:J56,MATCH(E3,C41:C56,0))</f>
        <v>0.5</v>
      </c>
      <c r="F14" s="190">
        <f>INDEX(J41:J56,MATCH(F3,C41:C56,0))</f>
        <v>0.5</v>
      </c>
      <c r="G14" s="106" t="s">
        <v>193</v>
      </c>
      <c r="H14" s="101"/>
      <c r="I14" s="101"/>
      <c r="J14" s="137"/>
    </row>
    <row r="15" spans="2:10" x14ac:dyDescent="0.25">
      <c r="B15" s="52" t="s">
        <v>225</v>
      </c>
      <c r="C15" s="190">
        <f>INDEX(G41:G56,MATCH(C3,C41:C56,0))</f>
        <v>0.4</v>
      </c>
      <c r="D15" s="190">
        <f>INDEX(G41:G56,MATCH(D3,C41:C56,0))</f>
        <v>0.4</v>
      </c>
      <c r="E15" s="190">
        <f>INDEX(G41:G56,MATCH(E3,C41:C56,0))</f>
        <v>0.4</v>
      </c>
      <c r="F15" s="190">
        <f>INDEX(G41:G56,MATCH(F3,C41:C56,0))</f>
        <v>0.4</v>
      </c>
      <c r="G15" s="106" t="s">
        <v>193</v>
      </c>
      <c r="H15" s="101"/>
      <c r="I15" s="101"/>
      <c r="J15" s="137"/>
    </row>
    <row r="16" spans="2:10" x14ac:dyDescent="0.25">
      <c r="B16" s="52"/>
      <c r="C16" s="52"/>
      <c r="D16" s="52"/>
      <c r="E16" s="52"/>
      <c r="F16" s="52"/>
      <c r="G16" s="106"/>
      <c r="H16" s="99"/>
      <c r="I16" s="99"/>
      <c r="J16" s="99"/>
    </row>
    <row r="17" spans="2:13" x14ac:dyDescent="0.25">
      <c r="B17" s="51" t="s">
        <v>93</v>
      </c>
      <c r="C17" s="51" t="s">
        <v>240</v>
      </c>
      <c r="D17" s="52"/>
      <c r="E17" s="52"/>
      <c r="F17" s="52"/>
      <c r="G17" s="106"/>
      <c r="H17" s="101" t="s">
        <v>94</v>
      </c>
      <c r="I17" s="101" t="s">
        <v>177</v>
      </c>
      <c r="J17" s="137" t="s">
        <v>335</v>
      </c>
    </row>
    <row r="18" spans="2:13" x14ac:dyDescent="0.25">
      <c r="B18" s="52"/>
      <c r="C18" s="52" t="s">
        <v>179</v>
      </c>
      <c r="D18" s="52"/>
      <c r="E18" s="52"/>
      <c r="F18" s="52"/>
      <c r="G18" s="106" t="s">
        <v>32</v>
      </c>
      <c r="H18" s="99"/>
      <c r="I18" s="99"/>
      <c r="J18" s="99"/>
    </row>
    <row r="19" spans="2:13" x14ac:dyDescent="0.25">
      <c r="B19" s="52"/>
      <c r="C19" s="50" t="s">
        <v>180</v>
      </c>
      <c r="D19" s="52"/>
      <c r="E19" s="52"/>
      <c r="F19" s="52"/>
      <c r="G19" s="106" t="s">
        <v>32</v>
      </c>
      <c r="H19" s="101"/>
      <c r="I19" s="101"/>
      <c r="J19" s="137"/>
    </row>
    <row r="20" spans="2:13" x14ac:dyDescent="0.25">
      <c r="B20" s="52"/>
      <c r="C20" s="50" t="s">
        <v>182</v>
      </c>
      <c r="D20" s="50"/>
      <c r="E20" s="50"/>
      <c r="F20" s="50"/>
      <c r="G20" s="106" t="s">
        <v>181</v>
      </c>
      <c r="H20" s="101"/>
      <c r="I20" s="101"/>
      <c r="J20" s="137"/>
    </row>
    <row r="21" spans="2:13" x14ac:dyDescent="0.25">
      <c r="B21" s="66"/>
      <c r="C21" s="50" t="s">
        <v>183</v>
      </c>
      <c r="D21" s="52"/>
      <c r="E21" s="52"/>
      <c r="F21" s="52"/>
      <c r="G21" s="106" t="s">
        <v>184</v>
      </c>
      <c r="H21" s="101"/>
      <c r="I21" s="101"/>
      <c r="J21" s="137"/>
    </row>
    <row r="22" spans="2:13" x14ac:dyDescent="0.25">
      <c r="B22" s="52"/>
      <c r="C22" s="50" t="s">
        <v>185</v>
      </c>
      <c r="D22" s="52"/>
      <c r="E22" s="52"/>
      <c r="F22" s="52"/>
      <c r="G22" s="106" t="s">
        <v>186</v>
      </c>
      <c r="H22" s="101"/>
      <c r="I22" s="101"/>
      <c r="J22" s="137"/>
    </row>
    <row r="23" spans="2:13" x14ac:dyDescent="0.25">
      <c r="B23" s="52"/>
      <c r="C23" s="52" t="s">
        <v>188</v>
      </c>
      <c r="D23" s="52"/>
      <c r="E23" s="52"/>
      <c r="F23" s="52"/>
      <c r="G23" s="106" t="s">
        <v>187</v>
      </c>
      <c r="H23" s="101"/>
      <c r="I23" s="101"/>
      <c r="J23" s="137"/>
    </row>
    <row r="24" spans="2:13" x14ac:dyDescent="0.25">
      <c r="B24" s="52"/>
      <c r="C24" s="52" t="s">
        <v>189</v>
      </c>
      <c r="D24" s="52"/>
      <c r="E24" s="52"/>
      <c r="F24" s="52"/>
      <c r="G24" s="106" t="s">
        <v>187</v>
      </c>
      <c r="H24" s="101"/>
      <c r="I24" s="101"/>
      <c r="J24" s="137"/>
    </row>
    <row r="25" spans="2:13" x14ac:dyDescent="0.25">
      <c r="B25" s="52"/>
      <c r="C25" s="52" t="s">
        <v>191</v>
      </c>
      <c r="D25" s="52"/>
      <c r="E25" s="52"/>
      <c r="F25" s="52"/>
      <c r="G25" s="106" t="s">
        <v>193</v>
      </c>
      <c r="H25" s="101"/>
      <c r="I25" s="101"/>
      <c r="J25" s="137"/>
    </row>
    <row r="26" spans="2:13" x14ac:dyDescent="0.25">
      <c r="B26" s="52"/>
      <c r="C26" s="52" t="s">
        <v>192</v>
      </c>
      <c r="D26" s="52"/>
      <c r="E26" s="52"/>
      <c r="F26" s="52"/>
      <c r="G26" s="106" t="s">
        <v>193</v>
      </c>
      <c r="H26" s="101"/>
      <c r="I26" s="101"/>
      <c r="J26" s="137"/>
    </row>
    <row r="27" spans="2:13" x14ac:dyDescent="0.25">
      <c r="B27" s="52"/>
      <c r="C27" s="52"/>
      <c r="D27" s="52"/>
      <c r="E27" s="52"/>
      <c r="F27" s="52"/>
      <c r="G27" s="106"/>
      <c r="H27" s="99"/>
      <c r="I27" s="99"/>
      <c r="J27" s="99"/>
    </row>
    <row r="28" spans="2:13" x14ac:dyDescent="0.25">
      <c r="B28" s="52"/>
      <c r="C28" s="189">
        <f>(C6*C7*(1-C12-C13)*C9*C10)+(C6*C7*C8*C9*C11)</f>
        <v>2.8591199999999997E-2</v>
      </c>
      <c r="D28" s="189">
        <f t="shared" ref="D28:F28" si="0">(D6*D7*(1-D12-D13)*D9*D10)+(D6*D7*D8*D9*D11)</f>
        <v>4.4957439999999994E-3</v>
      </c>
      <c r="E28" s="189">
        <f t="shared" si="0"/>
        <v>1.3802202000000001E-2</v>
      </c>
      <c r="F28" s="189">
        <f t="shared" si="0"/>
        <v>4.7319552000000001E-2</v>
      </c>
      <c r="G28" s="106" t="s">
        <v>33</v>
      </c>
      <c r="H28" s="99"/>
      <c r="I28" s="99"/>
      <c r="J28" s="99"/>
      <c r="K28" s="20"/>
      <c r="L28" s="20"/>
      <c r="M28" s="20"/>
    </row>
    <row r="29" spans="2:13" x14ac:dyDescent="0.25">
      <c r="B29" s="52"/>
      <c r="C29" s="52"/>
      <c r="D29" s="66"/>
      <c r="E29" s="66"/>
      <c r="F29" s="66"/>
      <c r="G29" s="107"/>
      <c r="H29" s="102"/>
      <c r="I29" s="102"/>
      <c r="J29" s="99"/>
      <c r="K29" s="20"/>
      <c r="L29" s="20"/>
      <c r="M29" s="20"/>
    </row>
    <row r="30" spans="2:13" x14ac:dyDescent="0.25">
      <c r="B30" s="51" t="s">
        <v>95</v>
      </c>
      <c r="C30" s="51" t="s">
        <v>87</v>
      </c>
      <c r="D30" s="66"/>
      <c r="E30" s="66"/>
      <c r="F30" s="66"/>
      <c r="G30" s="107"/>
      <c r="H30" s="103" t="s">
        <v>96</v>
      </c>
      <c r="I30" s="103" t="s">
        <v>194</v>
      </c>
      <c r="J30" s="136"/>
    </row>
    <row r="31" spans="2:13" x14ac:dyDescent="0.25">
      <c r="B31" s="52"/>
      <c r="C31" s="52" t="s">
        <v>88</v>
      </c>
      <c r="D31" s="66"/>
      <c r="E31" s="67">
        <v>0.01</v>
      </c>
      <c r="F31" s="66"/>
      <c r="G31" s="107" t="s">
        <v>89</v>
      </c>
      <c r="H31" s="102"/>
      <c r="I31" s="99"/>
      <c r="J31" s="136"/>
    </row>
    <row r="32" spans="2:13" x14ac:dyDescent="0.25">
      <c r="B32" s="52"/>
      <c r="C32" s="52" t="s">
        <v>90</v>
      </c>
      <c r="D32" s="52"/>
      <c r="E32" s="66">
        <f>'GWP Factors'!C15</f>
        <v>1.5714285714285714</v>
      </c>
      <c r="F32" s="66"/>
      <c r="G32" s="107"/>
      <c r="H32" s="102"/>
      <c r="I32" s="102"/>
      <c r="J32" s="102"/>
    </row>
    <row r="33" spans="2:12" x14ac:dyDescent="0.25">
      <c r="B33" s="52"/>
      <c r="C33" s="52"/>
      <c r="D33" s="52"/>
      <c r="E33" s="66"/>
      <c r="F33" s="66"/>
      <c r="G33" s="107"/>
      <c r="H33" s="99"/>
      <c r="I33" s="99"/>
      <c r="J33" s="99"/>
    </row>
    <row r="34" spans="2:12" x14ac:dyDescent="0.25">
      <c r="B34" s="52"/>
      <c r="C34" s="190">
        <f>C$28*$E$31*$E$32</f>
        <v>4.492902857142857E-4</v>
      </c>
      <c r="D34" s="190">
        <f>D$28*$E$31*$E$32</f>
        <v>7.0647405714285697E-5</v>
      </c>
      <c r="E34" s="190">
        <f>E$28*$E$31*$E$32</f>
        <v>2.1689174571428574E-4</v>
      </c>
      <c r="F34" s="190">
        <f>F$28*$E$31*$E$32</f>
        <v>7.4359296000000002E-4</v>
      </c>
      <c r="G34" s="106" t="s">
        <v>85</v>
      </c>
      <c r="H34" s="99"/>
      <c r="I34" s="99"/>
      <c r="J34" s="99"/>
    </row>
    <row r="35" spans="2:12" x14ac:dyDescent="0.25">
      <c r="B35" s="51" t="s">
        <v>145</v>
      </c>
      <c r="C35" s="190">
        <f>SUM(C34:F34)</f>
        <v>1.4804223971428571E-3</v>
      </c>
      <c r="D35" s="190"/>
      <c r="E35" s="190"/>
      <c r="F35" s="190"/>
      <c r="G35" s="106" t="s">
        <v>85</v>
      </c>
      <c r="H35" s="99"/>
      <c r="I35" s="99"/>
      <c r="J35" s="99"/>
    </row>
    <row r="36" spans="2:12" x14ac:dyDescent="0.25">
      <c r="B36" s="51" t="s">
        <v>145</v>
      </c>
      <c r="C36" s="190">
        <f>C35*310</f>
        <v>0.45893094311428573</v>
      </c>
      <c r="D36" s="190"/>
      <c r="E36" s="190"/>
      <c r="F36" s="190"/>
      <c r="G36" s="106" t="s">
        <v>159</v>
      </c>
      <c r="H36" s="99"/>
      <c r="I36" s="99"/>
      <c r="J36" s="99"/>
    </row>
    <row r="37" spans="2:12" x14ac:dyDescent="0.25">
      <c r="B37" s="104" t="s">
        <v>145</v>
      </c>
      <c r="C37" s="260">
        <f>C36*10^3</f>
        <v>458.93094311428575</v>
      </c>
      <c r="D37" s="191"/>
      <c r="E37" s="191"/>
      <c r="F37" s="191"/>
      <c r="G37" s="108" t="s">
        <v>83</v>
      </c>
      <c r="H37" s="105"/>
      <c r="I37" s="105"/>
      <c r="J37" s="105"/>
    </row>
    <row r="39" spans="2:12" x14ac:dyDescent="0.25">
      <c r="B39" s="123"/>
      <c r="C39" s="140" t="s">
        <v>201</v>
      </c>
      <c r="D39" s="141"/>
      <c r="E39" s="127"/>
      <c r="F39" s="127"/>
      <c r="G39" s="133"/>
      <c r="H39" s="133"/>
      <c r="I39" s="128"/>
      <c r="J39" s="123"/>
      <c r="K39" s="123"/>
      <c r="L39" s="123"/>
    </row>
    <row r="40" spans="2:12" ht="63" x14ac:dyDescent="0.25">
      <c r="B40" s="183"/>
      <c r="C40" s="159" t="s">
        <v>146</v>
      </c>
      <c r="D40" s="160" t="s">
        <v>223</v>
      </c>
      <c r="E40" s="160" t="s">
        <v>224</v>
      </c>
      <c r="F40" s="160" t="s">
        <v>202</v>
      </c>
      <c r="G40" s="160" t="s">
        <v>225</v>
      </c>
      <c r="H40" s="160" t="s">
        <v>226</v>
      </c>
      <c r="I40" s="160" t="s">
        <v>227</v>
      </c>
      <c r="J40" s="160" t="s">
        <v>228</v>
      </c>
      <c r="K40" s="160" t="s">
        <v>229</v>
      </c>
      <c r="L40" s="203" t="s">
        <v>230</v>
      </c>
    </row>
    <row r="41" spans="2:12" x14ac:dyDescent="0.25">
      <c r="B41" s="184">
        <v>1</v>
      </c>
      <c r="C41" s="161" t="s">
        <v>22</v>
      </c>
      <c r="D41" s="204">
        <v>1.5</v>
      </c>
      <c r="E41" s="204">
        <v>0.28999999999999998</v>
      </c>
      <c r="F41" s="204">
        <v>0.88</v>
      </c>
      <c r="G41" s="204">
        <v>0.4</v>
      </c>
      <c r="H41" s="204">
        <v>6.0000000000000001E-3</v>
      </c>
      <c r="I41" s="204">
        <v>0.01</v>
      </c>
      <c r="J41" s="204">
        <v>0.5</v>
      </c>
      <c r="K41" s="204">
        <f>INDEX('Crop Residues'!C60:C67,MATCH('Electricity &amp; Diesel'!L13,'Crop Residues'!B60:B67,0))</f>
        <v>0.21</v>
      </c>
      <c r="L41" s="205">
        <f>INDEX('Crop Residues'!D60:D67,MATCH('Electricity &amp; Diesel'!L13,'Crop Residues'!B60:B67,0))</f>
        <v>7.0000000000000007E-2</v>
      </c>
    </row>
    <row r="42" spans="2:12" x14ac:dyDescent="0.25">
      <c r="B42" s="184">
        <v>2</v>
      </c>
      <c r="C42" s="161" t="s">
        <v>34</v>
      </c>
      <c r="D42" s="204">
        <v>1.24</v>
      </c>
      <c r="E42" s="204">
        <v>0.32</v>
      </c>
      <c r="F42" s="204">
        <v>0.88</v>
      </c>
      <c r="G42" s="204">
        <v>0.4</v>
      </c>
      <c r="H42" s="204">
        <v>7.0000000000000001E-3</v>
      </c>
      <c r="I42" s="204">
        <v>0.01</v>
      </c>
      <c r="J42" s="204">
        <v>0.5</v>
      </c>
      <c r="K42" s="204">
        <f>INDEX('Crop Residues'!C60:C67,MATCH('Electricity &amp; Diesel'!L13,'Crop Residues'!B60:B67,0))</f>
        <v>0.21</v>
      </c>
      <c r="L42" s="205">
        <f>INDEX('Crop Residues'!D60:D67,MATCH('Electricity &amp; Diesel'!L13,'Crop Residues'!B60:B67,0))</f>
        <v>7.0000000000000007E-2</v>
      </c>
    </row>
    <row r="43" spans="2:12" x14ac:dyDescent="0.25">
      <c r="B43" s="184">
        <v>3</v>
      </c>
      <c r="C43" s="161" t="s">
        <v>27</v>
      </c>
      <c r="D43" s="204">
        <v>0.81</v>
      </c>
      <c r="E43" s="204">
        <v>0.39</v>
      </c>
      <c r="F43" s="204">
        <v>0.85</v>
      </c>
      <c r="G43" s="204">
        <v>0.42</v>
      </c>
      <c r="H43" s="204">
        <v>5.0000000000000001E-3</v>
      </c>
      <c r="I43" s="204">
        <v>7.0000000000000001E-3</v>
      </c>
      <c r="J43" s="204">
        <v>1</v>
      </c>
      <c r="K43" s="204">
        <f>INDEX('Crop Residues'!C60:C67,MATCH('Electricity &amp; Diesel'!L13,'Crop Residues'!B60:B67,0))</f>
        <v>0.21</v>
      </c>
      <c r="L43" s="205">
        <f>INDEX('Crop Residues'!D60:D67,MATCH('Electricity &amp; Diesel'!L13,'Crop Residues'!B60:B67,0))</f>
        <v>7.0000000000000007E-2</v>
      </c>
    </row>
    <row r="44" spans="2:12" x14ac:dyDescent="0.25">
      <c r="B44" s="184">
        <v>4</v>
      </c>
      <c r="C44" s="161" t="s">
        <v>35</v>
      </c>
      <c r="D44" s="204">
        <v>1.42</v>
      </c>
      <c r="E44" s="204">
        <v>0.43</v>
      </c>
      <c r="F44" s="204">
        <v>0.88</v>
      </c>
      <c r="G44" s="204">
        <v>0.4</v>
      </c>
      <c r="H44" s="204">
        <v>6.0000000000000001E-3</v>
      </c>
      <c r="I44" s="204">
        <v>0.01</v>
      </c>
      <c r="J44" s="204">
        <v>0.5</v>
      </c>
      <c r="K44" s="204">
        <f>INDEX('Crop Residues'!C60:C67,MATCH('Electricity &amp; Diesel'!L13,'Crop Residues'!B60:B67,0))</f>
        <v>0.21</v>
      </c>
      <c r="L44" s="205">
        <f>INDEX('Crop Residues'!D60:D67,MATCH('Electricity &amp; Diesel'!L13,'Crop Residues'!B60:B67,0))</f>
        <v>7.0000000000000007E-2</v>
      </c>
    </row>
    <row r="45" spans="2:12" x14ac:dyDescent="0.25">
      <c r="B45" s="184">
        <v>5</v>
      </c>
      <c r="C45" s="161" t="s">
        <v>36</v>
      </c>
      <c r="D45" s="204">
        <v>1.31</v>
      </c>
      <c r="E45" s="204">
        <v>0.16</v>
      </c>
      <c r="F45" s="204">
        <v>0.8</v>
      </c>
      <c r="G45" s="204">
        <v>0.42</v>
      </c>
      <c r="H45" s="204">
        <v>7.0000000000000001E-3</v>
      </c>
      <c r="I45" s="204">
        <v>0.01</v>
      </c>
      <c r="J45" s="204">
        <v>1</v>
      </c>
      <c r="K45" s="204">
        <v>0.81499999999999995</v>
      </c>
      <c r="L45" s="205">
        <v>0.06</v>
      </c>
    </row>
    <row r="46" spans="2:12" x14ac:dyDescent="0.25">
      <c r="B46" s="184">
        <v>6</v>
      </c>
      <c r="C46" s="161" t="s">
        <v>37</v>
      </c>
      <c r="D46" s="204">
        <v>1.5</v>
      </c>
      <c r="E46" s="204">
        <v>0.22</v>
      </c>
      <c r="F46" s="204">
        <v>0.8</v>
      </c>
      <c r="G46" s="204">
        <v>0.4</v>
      </c>
      <c r="H46" s="204">
        <v>8.0000000000000002E-3</v>
      </c>
      <c r="I46" s="204">
        <v>7.0000000000000001E-3</v>
      </c>
      <c r="J46" s="204">
        <v>0.5</v>
      </c>
      <c r="K46" s="204">
        <f>INDEX('Crop Residues'!C60:C67,MATCH('Electricity &amp; Diesel'!L13,'Crop Residues'!B60:B67,0))</f>
        <v>0.21</v>
      </c>
      <c r="L46" s="205">
        <f>INDEX('Crop Residues'!D60:D67,MATCH('Electricity &amp; Diesel'!L13,'Crop Residues'!B60:B67,0))</f>
        <v>7.0000000000000007E-2</v>
      </c>
    </row>
    <row r="47" spans="2:12" x14ac:dyDescent="0.25">
      <c r="B47" s="184">
        <v>7</v>
      </c>
      <c r="C47" s="161" t="s">
        <v>38</v>
      </c>
      <c r="D47" s="204">
        <v>1.5</v>
      </c>
      <c r="E47" s="204">
        <v>0.42</v>
      </c>
      <c r="F47" s="204">
        <v>0.88</v>
      </c>
      <c r="G47" s="204">
        <v>0.4</v>
      </c>
      <c r="H47" s="204">
        <v>6.0000000000000001E-3</v>
      </c>
      <c r="I47" s="204">
        <v>0.01</v>
      </c>
      <c r="J47" s="204">
        <v>0.5</v>
      </c>
      <c r="K47" s="204">
        <f>INDEX('Crop Residues'!C60:C67,MATCH('Electricity &amp; Diesel'!L13,'Crop Residues'!B60:B67,0))</f>
        <v>0.21</v>
      </c>
      <c r="L47" s="205">
        <f>INDEX('Crop Residues'!D60:D67,MATCH('Electricity &amp; Diesel'!L13,'Crop Residues'!B60:B67,0))</f>
        <v>7.0000000000000007E-2</v>
      </c>
    </row>
    <row r="48" spans="2:12" x14ac:dyDescent="0.25">
      <c r="B48" s="184">
        <v>8</v>
      </c>
      <c r="C48" s="161" t="s">
        <v>203</v>
      </c>
      <c r="D48" s="204">
        <v>1.5</v>
      </c>
      <c r="E48" s="204">
        <v>0.36</v>
      </c>
      <c r="F48" s="204">
        <v>0.88</v>
      </c>
      <c r="G48" s="204">
        <v>0.4</v>
      </c>
      <c r="H48" s="204">
        <v>6.0000000000000001E-3</v>
      </c>
      <c r="I48" s="204">
        <v>0.01</v>
      </c>
      <c r="J48" s="204">
        <v>0.5</v>
      </c>
      <c r="K48" s="204">
        <f>INDEX('Crop Residues'!C60:C67,MATCH('Electricity &amp; Diesel'!L13,'Crop Residues'!B60:B67,0))</f>
        <v>0.21</v>
      </c>
      <c r="L48" s="205">
        <f>INDEX('Crop Residues'!D60:D67,MATCH('Electricity &amp; Diesel'!L13,'Crop Residues'!B60:B67,0))</f>
        <v>7.0000000000000007E-2</v>
      </c>
    </row>
    <row r="49" spans="2:12" x14ac:dyDescent="0.25">
      <c r="B49" s="184">
        <v>9</v>
      </c>
      <c r="C49" s="161" t="s">
        <v>26</v>
      </c>
      <c r="D49" s="204">
        <v>1.37</v>
      </c>
      <c r="E49" s="204">
        <v>0.51</v>
      </c>
      <c r="F49" s="204">
        <v>0.87</v>
      </c>
      <c r="G49" s="204">
        <v>0.4</v>
      </c>
      <c r="H49" s="204">
        <v>8.9999999999999993E-3</v>
      </c>
      <c r="I49" s="204">
        <v>0.01</v>
      </c>
      <c r="J49" s="204">
        <v>0.5</v>
      </c>
      <c r="K49" s="204">
        <f>INDEX('Crop Residues'!C60:C67,MATCH('Electricity &amp; Diesel'!L13,'Crop Residues'!B60:B67,0))</f>
        <v>0.21</v>
      </c>
      <c r="L49" s="205">
        <f>INDEX('Crop Residues'!D60:D67,MATCH('Electricity &amp; Diesel'!L13,'Crop Residues'!B60:B67,0))</f>
        <v>7.0000000000000007E-2</v>
      </c>
    </row>
    <row r="50" spans="2:12" x14ac:dyDescent="0.25">
      <c r="B50" s="184">
        <v>10</v>
      </c>
      <c r="C50" s="161" t="s">
        <v>39</v>
      </c>
      <c r="D50" s="204">
        <v>0.34</v>
      </c>
      <c r="E50" s="204">
        <v>0.43</v>
      </c>
      <c r="F50" s="204">
        <v>0.25</v>
      </c>
      <c r="G50" s="204">
        <v>0.4</v>
      </c>
      <c r="H50" s="204">
        <v>0.02</v>
      </c>
      <c r="I50" s="204">
        <v>0.01</v>
      </c>
      <c r="J50" s="204"/>
      <c r="K50" s="204">
        <v>0</v>
      </c>
      <c r="L50" s="205">
        <v>1</v>
      </c>
    </row>
    <row r="51" spans="2:12" x14ac:dyDescent="0.25">
      <c r="B51" s="184">
        <v>11</v>
      </c>
      <c r="C51" s="161" t="s">
        <v>41</v>
      </c>
      <c r="D51" s="204">
        <v>1.07</v>
      </c>
      <c r="E51" s="204">
        <v>0.2</v>
      </c>
      <c r="F51" s="204">
        <v>0.8</v>
      </c>
      <c r="G51" s="204">
        <v>0.42</v>
      </c>
      <c r="H51" s="204">
        <v>1.6E-2</v>
      </c>
      <c r="I51" s="204">
        <v>1.4E-2</v>
      </c>
      <c r="J51" s="204">
        <v>0.5</v>
      </c>
      <c r="K51" s="204">
        <f>INDEX('Crop Residues'!C60:C67,MATCH('Electricity &amp; Diesel'!L13,'Crop Residues'!B60:B67,0))</f>
        <v>0.21</v>
      </c>
      <c r="L51" s="205">
        <f>INDEX('Crop Residues'!D60:D67,MATCH('Electricity &amp; Diesel'!L13,'Crop Residues'!B60:B67,0))</f>
        <v>7.0000000000000007E-2</v>
      </c>
    </row>
    <row r="52" spans="2:12" x14ac:dyDescent="0.25">
      <c r="B52" s="184">
        <v>12</v>
      </c>
      <c r="C52" s="161" t="s">
        <v>207</v>
      </c>
      <c r="D52" s="204">
        <v>0.25</v>
      </c>
      <c r="E52" s="204">
        <v>1.7</v>
      </c>
      <c r="F52" s="204">
        <v>0.2</v>
      </c>
      <c r="G52" s="204">
        <v>0.4</v>
      </c>
      <c r="H52" s="204">
        <v>0.01</v>
      </c>
      <c r="I52" s="204">
        <v>0.01</v>
      </c>
      <c r="J52" s="204">
        <v>1</v>
      </c>
      <c r="K52" s="204">
        <f>INDEX('Crop Residues'!C70:C77,MATCH('Electricity &amp; Diesel'!L13,'Crop Residues'!B70:B77,0))</f>
        <v>0</v>
      </c>
      <c r="L52" s="205">
        <f>INDEX('Crop Residues'!D70:D77,MATCH('Electricity &amp; Diesel'!L13,'Crop Residues'!B70:B77,0))</f>
        <v>0</v>
      </c>
    </row>
    <row r="53" spans="2:12" x14ac:dyDescent="0.25">
      <c r="B53" s="184">
        <v>13</v>
      </c>
      <c r="C53" s="161" t="s">
        <v>176</v>
      </c>
      <c r="D53" s="204">
        <v>1.9</v>
      </c>
      <c r="E53" s="204">
        <v>0.3</v>
      </c>
      <c r="F53" s="204">
        <v>0.9</v>
      </c>
      <c r="G53" s="204">
        <v>0.4</v>
      </c>
      <c r="H53" s="204">
        <v>0.01</v>
      </c>
      <c r="I53" s="204">
        <v>0.01</v>
      </c>
      <c r="J53" s="204"/>
      <c r="K53" s="204">
        <v>0</v>
      </c>
      <c r="L53" s="205">
        <v>0</v>
      </c>
    </row>
    <row r="54" spans="2:12" x14ac:dyDescent="0.25">
      <c r="B54" s="184">
        <v>14</v>
      </c>
      <c r="C54" s="161" t="s">
        <v>204</v>
      </c>
      <c r="D54" s="204">
        <v>1.5</v>
      </c>
      <c r="E54" s="204">
        <v>0.28999999999999998</v>
      </c>
      <c r="F54" s="204">
        <v>0.88</v>
      </c>
      <c r="G54" s="204">
        <v>0.4</v>
      </c>
      <c r="H54" s="204">
        <v>6.0000000000000001E-3</v>
      </c>
      <c r="I54" s="204"/>
      <c r="J54" s="204"/>
      <c r="K54" s="204">
        <v>0</v>
      </c>
      <c r="L54" s="205">
        <v>0</v>
      </c>
    </row>
    <row r="55" spans="2:12" x14ac:dyDescent="0.25">
      <c r="B55" s="184">
        <v>15</v>
      </c>
      <c r="C55" s="161" t="s">
        <v>205</v>
      </c>
      <c r="D55" s="204">
        <v>2.1</v>
      </c>
      <c r="E55" s="204">
        <v>0.33</v>
      </c>
      <c r="F55" s="204">
        <v>0.96</v>
      </c>
      <c r="G55" s="204">
        <v>0.4</v>
      </c>
      <c r="H55" s="204">
        <v>8.9999999999999993E-3</v>
      </c>
      <c r="I55" s="204">
        <v>0.01</v>
      </c>
      <c r="J55" s="204">
        <v>0.5</v>
      </c>
      <c r="K55" s="204">
        <f>INDEX('Crop Residues'!C60:C67,MATCH('Electricity &amp; Diesel'!L13,'Crop Residues'!B60:B67,0))</f>
        <v>0.21</v>
      </c>
      <c r="L55" s="205">
        <f>INDEX('Crop Residues'!D60:D67,MATCH('Electricity &amp; Diesel'!L13,'Crop Residues'!B60:B67,0))</f>
        <v>7.0000000000000007E-2</v>
      </c>
    </row>
    <row r="56" spans="2:12" x14ac:dyDescent="0.25">
      <c r="B56" s="185">
        <v>16</v>
      </c>
      <c r="C56" s="162" t="s">
        <v>206</v>
      </c>
      <c r="D56" s="206">
        <v>1.34</v>
      </c>
      <c r="E56" s="206">
        <v>0.37</v>
      </c>
      <c r="F56" s="206">
        <v>0.88</v>
      </c>
      <c r="G56" s="206">
        <v>0.4</v>
      </c>
      <c r="H56" s="206">
        <v>6.0000000000000001E-3</v>
      </c>
      <c r="I56" s="206">
        <v>0.01</v>
      </c>
      <c r="J56" s="206"/>
      <c r="K56" s="206">
        <v>0</v>
      </c>
      <c r="L56" s="207">
        <v>0.8</v>
      </c>
    </row>
    <row r="58" spans="2:12" x14ac:dyDescent="0.25">
      <c r="B58" s="188" t="s">
        <v>332</v>
      </c>
      <c r="C58" s="182"/>
      <c r="D58" s="126"/>
    </row>
    <row r="59" spans="2:12" ht="31.5" x14ac:dyDescent="0.25">
      <c r="B59" s="163" t="s">
        <v>208</v>
      </c>
      <c r="C59" s="208" t="s">
        <v>209</v>
      </c>
      <c r="D59" s="209" t="s">
        <v>210</v>
      </c>
    </row>
    <row r="60" spans="2:12" x14ac:dyDescent="0.25">
      <c r="B60" s="129" t="s">
        <v>211</v>
      </c>
      <c r="C60" s="210">
        <v>0.22</v>
      </c>
      <c r="D60" s="211">
        <v>0.05</v>
      </c>
    </row>
    <row r="61" spans="2:12" x14ac:dyDescent="0.25">
      <c r="B61" s="129" t="s">
        <v>212</v>
      </c>
      <c r="C61" s="212">
        <v>0.21</v>
      </c>
      <c r="D61" s="213">
        <v>7.0000000000000007E-2</v>
      </c>
    </row>
    <row r="62" spans="2:12" x14ac:dyDescent="0.25">
      <c r="B62" s="129" t="s">
        <v>213</v>
      </c>
      <c r="C62" s="212">
        <v>0.06</v>
      </c>
      <c r="D62" s="213">
        <v>0.04</v>
      </c>
    </row>
    <row r="63" spans="2:12" x14ac:dyDescent="0.25">
      <c r="B63" s="129" t="s">
        <v>198</v>
      </c>
      <c r="C63" s="212">
        <v>0.12</v>
      </c>
      <c r="D63" s="213">
        <v>0.09</v>
      </c>
    </row>
    <row r="64" spans="2:12" x14ac:dyDescent="0.25">
      <c r="B64" s="129" t="s">
        <v>214</v>
      </c>
      <c r="C64" s="212">
        <v>0.06</v>
      </c>
      <c r="D64" s="213">
        <v>0.11</v>
      </c>
    </row>
    <row r="65" spans="2:4" x14ac:dyDescent="0.25">
      <c r="B65" s="129" t="s">
        <v>215</v>
      </c>
      <c r="C65" s="212">
        <v>0.09</v>
      </c>
      <c r="D65" s="213">
        <v>0.16</v>
      </c>
    </row>
    <row r="66" spans="2:4" x14ac:dyDescent="0.25">
      <c r="B66" s="129" t="s">
        <v>199</v>
      </c>
      <c r="C66" s="212">
        <v>0.23</v>
      </c>
      <c r="D66" s="213">
        <v>0.01</v>
      </c>
    </row>
    <row r="67" spans="2:4" x14ac:dyDescent="0.25">
      <c r="B67" s="130" t="s">
        <v>216</v>
      </c>
      <c r="C67" s="283">
        <v>0</v>
      </c>
      <c r="D67" s="284">
        <v>0</v>
      </c>
    </row>
    <row r="68" spans="2:4" x14ac:dyDescent="0.25">
      <c r="B68" s="188" t="s">
        <v>331</v>
      </c>
      <c r="C68" s="182"/>
      <c r="D68" s="126"/>
    </row>
    <row r="69" spans="2:4" ht="31.5" x14ac:dyDescent="0.25">
      <c r="B69" s="163" t="s">
        <v>208</v>
      </c>
      <c r="C69" s="214" t="s">
        <v>232</v>
      </c>
      <c r="D69" s="215" t="s">
        <v>233</v>
      </c>
    </row>
    <row r="70" spans="2:4" x14ac:dyDescent="0.25">
      <c r="B70" s="129" t="s">
        <v>211</v>
      </c>
      <c r="C70" s="212">
        <v>0.89600000000000002</v>
      </c>
      <c r="D70" s="213">
        <v>0</v>
      </c>
    </row>
    <row r="71" spans="2:4" x14ac:dyDescent="0.25">
      <c r="B71" s="129" t="s">
        <v>212</v>
      </c>
      <c r="C71" s="212">
        <v>0</v>
      </c>
      <c r="D71" s="213">
        <v>0</v>
      </c>
    </row>
    <row r="72" spans="2:4" x14ac:dyDescent="0.25">
      <c r="B72" s="129" t="s">
        <v>213</v>
      </c>
      <c r="C72" s="212">
        <v>0.26500000000000001</v>
      </c>
      <c r="D72" s="213">
        <v>0.03</v>
      </c>
    </row>
    <row r="73" spans="2:4" x14ac:dyDescent="0.25">
      <c r="B73" s="129" t="s">
        <v>198</v>
      </c>
      <c r="C73" s="212">
        <v>0</v>
      </c>
      <c r="D73" s="213">
        <v>0</v>
      </c>
    </row>
    <row r="74" spans="2:4" x14ac:dyDescent="0.25">
      <c r="B74" s="129" t="s">
        <v>214</v>
      </c>
      <c r="C74" s="212">
        <v>1</v>
      </c>
      <c r="D74" s="213">
        <v>0</v>
      </c>
    </row>
    <row r="75" spans="2:4" x14ac:dyDescent="0.25">
      <c r="B75" s="129" t="s">
        <v>215</v>
      </c>
      <c r="C75" s="212">
        <v>0</v>
      </c>
      <c r="D75" s="213">
        <v>0</v>
      </c>
    </row>
    <row r="76" spans="2:4" x14ac:dyDescent="0.25">
      <c r="B76" s="129" t="s">
        <v>199</v>
      </c>
      <c r="C76" s="212">
        <v>0</v>
      </c>
      <c r="D76" s="213">
        <v>0</v>
      </c>
    </row>
    <row r="77" spans="2:4" x14ac:dyDescent="0.25">
      <c r="B77" s="130" t="s">
        <v>216</v>
      </c>
      <c r="C77" s="283">
        <v>0</v>
      </c>
      <c r="D77" s="284">
        <v>0</v>
      </c>
    </row>
  </sheetData>
  <sheetProtection sheet="1" objects="1" scenarios="1"/>
  <phoneticPr fontId="6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workbookViewId="0"/>
  </sheetViews>
  <sheetFormatPr defaultColWidth="9" defaultRowHeight="15.75" x14ac:dyDescent="0.25"/>
  <cols>
    <col min="1" max="1" width="2.85546875" style="17" customWidth="1"/>
    <col min="2" max="2" width="34" style="17" customWidth="1"/>
    <col min="3" max="3" width="15.42578125" style="17" customWidth="1"/>
    <col min="4" max="4" width="15.140625" style="17" customWidth="1"/>
    <col min="5" max="5" width="15" style="17" customWidth="1"/>
    <col min="6" max="6" width="13.42578125" style="17" customWidth="1"/>
    <col min="7" max="7" width="16.140625" style="17" customWidth="1"/>
    <col min="8" max="8" width="21.7109375" style="17" customWidth="1"/>
    <col min="9" max="9" width="22.28515625" style="17" customWidth="1"/>
    <col min="10" max="10" width="21.140625" style="17" customWidth="1"/>
    <col min="11" max="16384" width="9" style="17"/>
  </cols>
  <sheetData>
    <row r="1" spans="2:10" ht="25.7" customHeight="1" x14ac:dyDescent="0.3">
      <c r="B1" s="44" t="s">
        <v>149</v>
      </c>
    </row>
    <row r="3" spans="2:10" x14ac:dyDescent="0.25">
      <c r="B3" s="95" t="s">
        <v>111</v>
      </c>
      <c r="C3" s="96"/>
      <c r="D3" s="96"/>
      <c r="E3" s="96"/>
      <c r="F3" s="96"/>
      <c r="G3" s="96"/>
      <c r="H3" s="268" t="s">
        <v>148</v>
      </c>
      <c r="I3" s="268" t="s">
        <v>377</v>
      </c>
      <c r="J3" s="268" t="s">
        <v>378</v>
      </c>
    </row>
    <row r="4" spans="2:10" x14ac:dyDescent="0.25">
      <c r="B4" s="39"/>
      <c r="C4" s="39"/>
      <c r="D4" s="39"/>
      <c r="E4" s="39"/>
      <c r="F4" s="39"/>
      <c r="G4" s="39"/>
      <c r="H4" s="29"/>
      <c r="I4" s="29"/>
      <c r="J4" s="29"/>
    </row>
    <row r="5" spans="2:10" x14ac:dyDescent="0.25">
      <c r="B5" s="49"/>
      <c r="C5" s="192" t="str">
        <f>'Crop Residues'!C3</f>
        <v>Wheat</v>
      </c>
      <c r="D5" s="192" t="str">
        <f>'Crop Residues'!D3</f>
        <v>Barley</v>
      </c>
      <c r="E5" s="192" t="str">
        <f>'Crop Residues'!E3</f>
        <v>Pulses</v>
      </c>
      <c r="F5" s="192" t="str">
        <f>'Crop Residues'!F3</f>
        <v>Oilseeds</v>
      </c>
      <c r="G5" s="68"/>
      <c r="H5" s="98"/>
      <c r="I5" s="29"/>
      <c r="J5" s="29"/>
    </row>
    <row r="6" spans="2:10" x14ac:dyDescent="0.25">
      <c r="B6" s="49"/>
      <c r="C6" s="49" t="s">
        <v>112</v>
      </c>
      <c r="D6" s="39"/>
      <c r="E6" s="39"/>
      <c r="F6" s="39"/>
      <c r="G6" s="39"/>
      <c r="H6" s="92" t="s">
        <v>113</v>
      </c>
      <c r="I6" s="92" t="s">
        <v>241</v>
      </c>
      <c r="J6" s="92" t="s">
        <v>347</v>
      </c>
    </row>
    <row r="7" spans="2:10" x14ac:dyDescent="0.25">
      <c r="B7" s="49"/>
      <c r="C7" s="39" t="s">
        <v>114</v>
      </c>
      <c r="D7" s="39"/>
      <c r="E7" s="39"/>
      <c r="F7" s="39"/>
      <c r="G7" s="48" t="s">
        <v>33</v>
      </c>
      <c r="H7" s="92"/>
      <c r="I7" s="29"/>
      <c r="J7" s="29"/>
    </row>
    <row r="8" spans="2:10" x14ac:dyDescent="0.25">
      <c r="B8" s="42"/>
      <c r="C8" s="39" t="s">
        <v>102</v>
      </c>
      <c r="D8" s="39"/>
      <c r="E8" s="39"/>
      <c r="F8" s="39"/>
      <c r="G8" s="48" t="s">
        <v>33</v>
      </c>
      <c r="H8" s="92"/>
      <c r="I8" s="29"/>
      <c r="J8" s="29"/>
    </row>
    <row r="9" spans="2:10" x14ac:dyDescent="0.25">
      <c r="B9" s="49"/>
      <c r="C9" s="39" t="s">
        <v>117</v>
      </c>
      <c r="D9" s="42"/>
      <c r="E9" s="39">
        <v>0.1</v>
      </c>
      <c r="F9" s="39"/>
      <c r="G9" s="48" t="s">
        <v>115</v>
      </c>
      <c r="H9" s="92"/>
      <c r="I9" s="29"/>
      <c r="J9" s="29"/>
    </row>
    <row r="10" spans="2:10" x14ac:dyDescent="0.25">
      <c r="B10" s="49"/>
      <c r="C10" s="39"/>
      <c r="D10" s="39"/>
      <c r="E10" s="39"/>
      <c r="F10" s="39"/>
      <c r="G10" s="48"/>
      <c r="H10" s="29"/>
      <c r="I10" s="29"/>
      <c r="J10" s="29"/>
    </row>
    <row r="11" spans="2:10" x14ac:dyDescent="0.25">
      <c r="B11" s="39" t="s">
        <v>296</v>
      </c>
      <c r="C11" s="194">
        <f>Fertiliser!C$13*$E$9</f>
        <v>6.0000000000000001E-3</v>
      </c>
      <c r="D11" s="194">
        <f>Fertiliser!D$13*$E$9</f>
        <v>1E-3</v>
      </c>
      <c r="E11" s="194">
        <f>Fertiliser!E$13*$E$9</f>
        <v>0</v>
      </c>
      <c r="F11" s="194">
        <f>Fertiliser!F$13*$E$9</f>
        <v>6.4000000000000003E-3</v>
      </c>
      <c r="G11" s="48" t="s">
        <v>33</v>
      </c>
      <c r="H11" s="29"/>
      <c r="I11" s="29"/>
      <c r="J11" s="29"/>
    </row>
    <row r="12" spans="2:10" x14ac:dyDescent="0.25">
      <c r="B12" s="176" t="s">
        <v>300</v>
      </c>
      <c r="C12" s="194">
        <f>Fertiliser!C56*$E$9</f>
        <v>0</v>
      </c>
      <c r="D12" s="194">
        <f>Fertiliser!D56*$E$9</f>
        <v>0</v>
      </c>
      <c r="E12" s="194">
        <f>Fertiliser!E56*$E$9</f>
        <v>0</v>
      </c>
      <c r="F12" s="194">
        <f>Fertiliser!F56*$E$9</f>
        <v>0</v>
      </c>
      <c r="G12" s="48" t="s">
        <v>33</v>
      </c>
      <c r="H12" s="29"/>
      <c r="I12" s="29"/>
      <c r="J12" s="29"/>
    </row>
    <row r="13" spans="2:10" x14ac:dyDescent="0.25">
      <c r="B13" s="49"/>
      <c r="C13" s="42"/>
      <c r="D13" s="42"/>
      <c r="E13" s="42"/>
      <c r="F13" s="42"/>
      <c r="G13" s="48"/>
      <c r="H13" s="92"/>
      <c r="I13" s="29"/>
      <c r="J13" s="29"/>
    </row>
    <row r="14" spans="2:10" ht="47.25" x14ac:dyDescent="0.25">
      <c r="B14" s="168" t="s">
        <v>118</v>
      </c>
      <c r="C14" s="49" t="s">
        <v>87</v>
      </c>
      <c r="D14" s="39"/>
      <c r="E14" s="39"/>
      <c r="F14" s="39"/>
      <c r="G14" s="48"/>
      <c r="H14" s="92" t="s">
        <v>119</v>
      </c>
      <c r="I14" s="92" t="s">
        <v>297</v>
      </c>
      <c r="J14" s="92" t="s">
        <v>347</v>
      </c>
    </row>
    <row r="15" spans="2:10" x14ac:dyDescent="0.25">
      <c r="B15" s="42"/>
      <c r="C15" s="39" t="s">
        <v>120</v>
      </c>
      <c r="D15" s="39"/>
      <c r="E15" s="39"/>
      <c r="F15" s="39"/>
      <c r="G15" s="48" t="s">
        <v>33</v>
      </c>
      <c r="H15" s="92"/>
      <c r="I15" s="29"/>
      <c r="J15" s="29"/>
    </row>
    <row r="16" spans="2:10" x14ac:dyDescent="0.25">
      <c r="B16" s="48" t="s">
        <v>88</v>
      </c>
      <c r="C16" s="193">
        <f>Fertiliser!C41</f>
        <v>8.5000000000000006E-3</v>
      </c>
      <c r="D16" s="193">
        <f>Fertiliser!D41</f>
        <v>8.5000000000000006E-3</v>
      </c>
      <c r="E16" s="193">
        <f>Fertiliser!E41</f>
        <v>8.5000000000000006E-3</v>
      </c>
      <c r="F16" s="193">
        <f>Fertiliser!F41</f>
        <v>8.5000000000000006E-3</v>
      </c>
      <c r="G16" s="48" t="s">
        <v>89</v>
      </c>
      <c r="H16" s="92"/>
      <c r="I16" s="29"/>
      <c r="J16" s="29"/>
    </row>
    <row r="17" spans="2:10" x14ac:dyDescent="0.25">
      <c r="B17" s="48" t="s">
        <v>90</v>
      </c>
      <c r="C17" s="194">
        <f>'GWP Factors'!C15</f>
        <v>1.5714285714285714</v>
      </c>
      <c r="D17" s="193"/>
      <c r="E17" s="39"/>
      <c r="F17" s="193"/>
      <c r="G17" s="48"/>
      <c r="H17" s="92"/>
      <c r="I17" s="29"/>
      <c r="J17" s="29"/>
    </row>
    <row r="18" spans="2:10" x14ac:dyDescent="0.25">
      <c r="B18" s="351" t="s">
        <v>11</v>
      </c>
      <c r="C18" s="195">
        <f>C11*$C$16*$C$17</f>
        <v>8.0142857142857145E-5</v>
      </c>
      <c r="D18" s="195">
        <f>(D11+D12)*$D$16*$C$17</f>
        <v>1.3357142857142859E-5</v>
      </c>
      <c r="E18" s="195">
        <f>(E11+E12)*$E$16*$C$17</f>
        <v>0</v>
      </c>
      <c r="F18" s="195">
        <f>(F11+F12)*$F$16*$C$17</f>
        <v>8.5485714285714302E-5</v>
      </c>
      <c r="G18" s="48" t="s">
        <v>85</v>
      </c>
      <c r="H18" s="92"/>
      <c r="I18" s="29"/>
      <c r="J18" s="29"/>
    </row>
    <row r="19" spans="2:10" x14ac:dyDescent="0.25">
      <c r="B19" s="48"/>
      <c r="C19" s="194"/>
      <c r="D19" s="193"/>
      <c r="E19" s="39"/>
      <c r="F19" s="193"/>
      <c r="G19" s="48"/>
      <c r="H19" s="92"/>
      <c r="I19" s="29"/>
      <c r="J19" s="29"/>
    </row>
    <row r="20" spans="2:10" ht="47.25" x14ac:dyDescent="0.25">
      <c r="B20" s="168" t="s">
        <v>379</v>
      </c>
      <c r="C20" s="49" t="s">
        <v>87</v>
      </c>
      <c r="D20" s="39"/>
      <c r="E20" s="193"/>
      <c r="F20" s="193"/>
      <c r="G20" s="48"/>
      <c r="H20" s="92"/>
      <c r="I20" s="29"/>
      <c r="J20" s="29"/>
    </row>
    <row r="21" spans="2:10" x14ac:dyDescent="0.25">
      <c r="B21" s="168"/>
      <c r="C21" s="39" t="s">
        <v>120</v>
      </c>
      <c r="D21" s="39"/>
      <c r="E21" s="193"/>
      <c r="F21" s="193"/>
      <c r="G21" s="48"/>
      <c r="H21" s="92"/>
      <c r="I21" s="92" t="s">
        <v>297</v>
      </c>
      <c r="J21" s="92" t="s">
        <v>381</v>
      </c>
    </row>
    <row r="22" spans="2:10" x14ac:dyDescent="0.25">
      <c r="B22" s="48" t="s">
        <v>88</v>
      </c>
      <c r="C22" s="193">
        <f>Fertiliser!D51</f>
        <v>8.9999999999999998E-4</v>
      </c>
      <c r="D22" s="193"/>
      <c r="E22" s="193"/>
      <c r="F22" s="193"/>
      <c r="G22" s="48"/>
      <c r="H22" s="92"/>
      <c r="I22" s="29"/>
      <c r="J22" s="29"/>
    </row>
    <row r="23" spans="2:10" x14ac:dyDescent="0.25">
      <c r="B23" s="48" t="s">
        <v>90</v>
      </c>
      <c r="C23" s="194">
        <f>'GWP Factors'!C15</f>
        <v>1.5714285714285714</v>
      </c>
      <c r="D23" s="193"/>
      <c r="E23" s="193"/>
      <c r="F23" s="193"/>
      <c r="G23" s="48"/>
      <c r="H23" s="92"/>
      <c r="I23" s="29"/>
      <c r="J23" s="29"/>
    </row>
    <row r="24" spans="2:10" x14ac:dyDescent="0.25">
      <c r="B24" s="351" t="s">
        <v>11</v>
      </c>
      <c r="C24" s="194">
        <f>C12*$C$22*$C$23</f>
        <v>0</v>
      </c>
      <c r="D24" s="194">
        <f t="shared" ref="D24:F24" si="0">D12*$C$22*$C$23</f>
        <v>0</v>
      </c>
      <c r="E24" s="194">
        <f t="shared" si="0"/>
        <v>0</v>
      </c>
      <c r="F24" s="194">
        <f t="shared" si="0"/>
        <v>0</v>
      </c>
      <c r="G24" s="48" t="s">
        <v>85</v>
      </c>
      <c r="H24" s="92"/>
      <c r="I24" s="29"/>
      <c r="J24" s="29"/>
    </row>
    <row r="25" spans="2:10" x14ac:dyDescent="0.25">
      <c r="B25" s="168"/>
      <c r="C25" s="193"/>
      <c r="D25" s="193"/>
      <c r="E25" s="193"/>
      <c r="F25" s="193"/>
      <c r="G25" s="48"/>
      <c r="H25" s="92"/>
      <c r="I25" s="29"/>
      <c r="J25" s="29"/>
    </row>
    <row r="26" spans="2:10" x14ac:dyDescent="0.25">
      <c r="B26" s="68" t="s">
        <v>295</v>
      </c>
      <c r="C26" s="195">
        <f>C18+C24</f>
        <v>8.0142857142857145E-5</v>
      </c>
      <c r="D26" s="195">
        <f t="shared" ref="D26:F26" si="1">D18+D24</f>
        <v>1.3357142857142859E-5</v>
      </c>
      <c r="E26" s="195">
        <f t="shared" si="1"/>
        <v>0</v>
      </c>
      <c r="F26" s="195">
        <f t="shared" si="1"/>
        <v>8.5485714285714302E-5</v>
      </c>
      <c r="G26" s="48"/>
      <c r="H26" s="92"/>
      <c r="I26" s="29"/>
      <c r="J26" s="29"/>
    </row>
    <row r="27" spans="2:10" x14ac:dyDescent="0.25">
      <c r="B27" s="68" t="s">
        <v>295</v>
      </c>
      <c r="C27" s="195">
        <f>SUM(C26:F26)</f>
        <v>1.7898571428571431E-4</v>
      </c>
      <c r="D27" s="195"/>
      <c r="E27" s="195"/>
      <c r="F27" s="195"/>
      <c r="G27" s="48" t="s">
        <v>85</v>
      </c>
      <c r="H27" s="92"/>
      <c r="I27" s="29"/>
      <c r="J27" s="29"/>
    </row>
    <row r="28" spans="2:10" x14ac:dyDescent="0.25">
      <c r="B28" s="68" t="s">
        <v>295</v>
      </c>
      <c r="C28" s="194">
        <f>C27*'GWP Factors'!C6</f>
        <v>5.3337742857142864E-2</v>
      </c>
      <c r="D28" s="194"/>
      <c r="E28" s="194"/>
      <c r="F28" s="194"/>
      <c r="G28" s="48" t="s">
        <v>159</v>
      </c>
      <c r="H28" s="92"/>
      <c r="I28" s="29"/>
      <c r="J28" s="29"/>
    </row>
    <row r="29" spans="2:10" x14ac:dyDescent="0.25">
      <c r="B29" s="93" t="s">
        <v>295</v>
      </c>
      <c r="C29" s="352">
        <f>C28*10^3</f>
        <v>53.337742857142864</v>
      </c>
      <c r="D29" s="196"/>
      <c r="E29" s="196"/>
      <c r="F29" s="196"/>
      <c r="G29" s="97" t="s">
        <v>83</v>
      </c>
      <c r="H29" s="94"/>
      <c r="I29" s="147"/>
      <c r="J29" s="147"/>
    </row>
    <row r="34" spans="2:2" x14ac:dyDescent="0.25">
      <c r="B34" s="17" t="s">
        <v>380</v>
      </c>
    </row>
  </sheetData>
  <sheetProtection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3"/>
  <sheetViews>
    <sheetView showGridLines="0" workbookViewId="0"/>
  </sheetViews>
  <sheetFormatPr defaultColWidth="9" defaultRowHeight="15.75" x14ac:dyDescent="0.25"/>
  <cols>
    <col min="1" max="1" width="3.42578125" style="17" customWidth="1"/>
    <col min="2" max="2" width="47.7109375" style="17" customWidth="1"/>
    <col min="3" max="6" width="18.85546875" style="17" customWidth="1"/>
    <col min="7" max="7" width="45.7109375" style="17" customWidth="1"/>
    <col min="8" max="9" width="21.28515625" style="17" customWidth="1"/>
    <col min="10" max="10" width="20" style="17" customWidth="1"/>
    <col min="11" max="16384" width="9" style="17"/>
  </cols>
  <sheetData>
    <row r="1" spans="2:10" ht="24.95" customHeight="1" x14ac:dyDescent="0.3">
      <c r="B1" s="44" t="s">
        <v>150</v>
      </c>
    </row>
    <row r="3" spans="2:10" x14ac:dyDescent="0.25">
      <c r="B3" s="95" t="s">
        <v>121</v>
      </c>
      <c r="C3" s="96"/>
      <c r="D3" s="96"/>
      <c r="E3" s="96"/>
      <c r="F3" s="96"/>
      <c r="G3" s="96"/>
      <c r="H3" s="268" t="s">
        <v>148</v>
      </c>
      <c r="I3" s="268" t="s">
        <v>163</v>
      </c>
      <c r="J3" s="268" t="s">
        <v>178</v>
      </c>
    </row>
    <row r="4" spans="2:10" x14ac:dyDescent="0.25">
      <c r="B4" s="49"/>
      <c r="C4" s="39"/>
      <c r="D4" s="39"/>
      <c r="E4" s="39"/>
      <c r="F4" s="39"/>
      <c r="G4" s="39"/>
      <c r="H4" s="29"/>
      <c r="I4" s="29"/>
      <c r="J4" s="29"/>
    </row>
    <row r="5" spans="2:10" x14ac:dyDescent="0.25">
      <c r="B5" s="39"/>
      <c r="C5" s="192" t="str">
        <f>'Crop Residues'!C3</f>
        <v>Wheat</v>
      </c>
      <c r="D5" s="192" t="str">
        <f>'Crop Residues'!D3</f>
        <v>Barley</v>
      </c>
      <c r="E5" s="192" t="str">
        <f>'Crop Residues'!E3</f>
        <v>Pulses</v>
      </c>
      <c r="F5" s="192" t="str">
        <f>'Crop Residues'!F3</f>
        <v>Oilseeds</v>
      </c>
      <c r="G5" s="49"/>
      <c r="H5" s="91"/>
      <c r="I5" s="29"/>
      <c r="J5" s="29"/>
    </row>
    <row r="6" spans="2:10" x14ac:dyDescent="0.25">
      <c r="B6" s="49" t="s">
        <v>351</v>
      </c>
      <c r="C6" s="194">
        <f>Fertiliser!C13</f>
        <v>0.06</v>
      </c>
      <c r="D6" s="194">
        <f>Fertiliser!D13</f>
        <v>0.01</v>
      </c>
      <c r="E6" s="194">
        <f>Fertiliser!E13</f>
        <v>0</v>
      </c>
      <c r="F6" s="194">
        <f>Fertiliser!F13</f>
        <v>6.4000000000000001E-2</v>
      </c>
      <c r="G6" s="48" t="s">
        <v>33</v>
      </c>
      <c r="H6" s="91"/>
      <c r="I6" s="29"/>
      <c r="J6" s="29"/>
    </row>
    <row r="7" spans="2:10" x14ac:dyDescent="0.25">
      <c r="B7" s="49" t="s">
        <v>352</v>
      </c>
      <c r="C7" s="194">
        <f>Fertiliser!C56</f>
        <v>0</v>
      </c>
      <c r="D7" s="194">
        <f>Fertiliser!D56</f>
        <v>0</v>
      </c>
      <c r="E7" s="194">
        <f>Fertiliser!E56</f>
        <v>0</v>
      </c>
      <c r="F7" s="194">
        <f>Fertiliser!F56</f>
        <v>0</v>
      </c>
      <c r="G7" s="48" t="s">
        <v>33</v>
      </c>
      <c r="H7" s="91"/>
      <c r="I7" s="29"/>
      <c r="J7" s="29"/>
    </row>
    <row r="8" spans="2:10" x14ac:dyDescent="0.25">
      <c r="B8" s="49" t="s">
        <v>363</v>
      </c>
      <c r="C8" s="194">
        <f>'Crop Residues'!C28</f>
        <v>2.8591199999999997E-2</v>
      </c>
      <c r="D8" s="194">
        <f>'Crop Residues'!D28</f>
        <v>4.4957439999999994E-3</v>
      </c>
      <c r="E8" s="194">
        <f>'Crop Residues'!E28</f>
        <v>1.3802202000000001E-2</v>
      </c>
      <c r="F8" s="194">
        <f>'Crop Residues'!F28</f>
        <v>4.7319552000000001E-2</v>
      </c>
      <c r="G8" s="48" t="s">
        <v>33</v>
      </c>
      <c r="H8" s="91"/>
      <c r="I8" s="29"/>
      <c r="J8" s="29"/>
    </row>
    <row r="9" spans="2:10" ht="31.5" x14ac:dyDescent="0.25">
      <c r="B9" s="168" t="s">
        <v>122</v>
      </c>
      <c r="C9" s="49" t="s">
        <v>123</v>
      </c>
      <c r="D9" s="39"/>
      <c r="E9" s="39"/>
      <c r="F9" s="39"/>
      <c r="G9" s="39"/>
      <c r="H9" s="92" t="s">
        <v>350</v>
      </c>
      <c r="I9" s="92" t="s">
        <v>242</v>
      </c>
      <c r="J9" s="92"/>
    </row>
    <row r="10" spans="2:10" x14ac:dyDescent="0.25">
      <c r="B10" s="39"/>
      <c r="C10" s="39" t="s">
        <v>124</v>
      </c>
      <c r="D10" s="39"/>
      <c r="E10" s="39"/>
      <c r="F10" s="39"/>
      <c r="G10" s="48" t="s">
        <v>33</v>
      </c>
      <c r="H10" s="92"/>
      <c r="I10" s="92" t="s">
        <v>362</v>
      </c>
      <c r="J10" s="92" t="s">
        <v>353</v>
      </c>
    </row>
    <row r="11" spans="2:10" x14ac:dyDescent="0.25">
      <c r="B11" s="39"/>
      <c r="C11" s="39" t="s">
        <v>367</v>
      </c>
      <c r="D11" s="39"/>
      <c r="E11" s="39">
        <v>1</v>
      </c>
      <c r="F11" s="39"/>
      <c r="G11" s="48"/>
      <c r="H11" s="92"/>
      <c r="I11" s="92" t="s">
        <v>382</v>
      </c>
      <c r="J11" s="92" t="s">
        <v>383</v>
      </c>
    </row>
    <row r="12" spans="2:10" x14ac:dyDescent="0.25">
      <c r="B12" s="39"/>
      <c r="C12" s="39" t="s">
        <v>126</v>
      </c>
      <c r="D12" s="39"/>
      <c r="E12" s="48">
        <v>0.3</v>
      </c>
      <c r="F12" s="42"/>
      <c r="G12" s="48" t="s">
        <v>115</v>
      </c>
      <c r="H12" s="92"/>
      <c r="I12" s="92"/>
      <c r="J12" s="29"/>
    </row>
    <row r="13" spans="2:10" x14ac:dyDescent="0.25">
      <c r="B13" s="42"/>
      <c r="C13" s="42"/>
      <c r="D13" s="42"/>
      <c r="E13" s="42"/>
      <c r="F13" s="42"/>
      <c r="G13" s="48"/>
      <c r="H13" s="80"/>
      <c r="I13" s="29"/>
      <c r="J13" s="29"/>
    </row>
    <row r="14" spans="2:10" x14ac:dyDescent="0.25">
      <c r="B14" s="68" t="s">
        <v>200</v>
      </c>
      <c r="C14" s="192" t="str">
        <f>'Crop Residues'!C4</f>
        <v>Non-Irrigated Crop</v>
      </c>
      <c r="D14" s="192" t="str">
        <f>'Crop Residues'!D4</f>
        <v>Non-Irrigated Crop</v>
      </c>
      <c r="E14" s="192" t="str">
        <f>'Crop Residues'!E4</f>
        <v>Irrigated Crop</v>
      </c>
      <c r="F14" s="192" t="str">
        <f>'Crop Residues'!F4</f>
        <v>Irrigated Crop</v>
      </c>
      <c r="G14" s="48"/>
      <c r="H14" s="80"/>
      <c r="I14" s="29"/>
      <c r="J14" s="29"/>
    </row>
    <row r="15" spans="2:10" x14ac:dyDescent="0.25">
      <c r="B15" s="42" t="s">
        <v>298</v>
      </c>
      <c r="C15" s="193">
        <f>'Data input'!C9</f>
        <v>2</v>
      </c>
      <c r="D15" s="193">
        <f>'Data input'!D9</f>
        <v>2</v>
      </c>
      <c r="E15" s="193">
        <f>'Data input'!E9</f>
        <v>2</v>
      </c>
      <c r="F15" s="193">
        <f>'Data input'!F9</f>
        <v>2</v>
      </c>
      <c r="G15" s="48"/>
      <c r="H15" s="80"/>
      <c r="I15" s="29"/>
      <c r="J15" s="29"/>
    </row>
    <row r="16" spans="2:10" x14ac:dyDescent="0.25">
      <c r="B16" s="39" t="s">
        <v>359</v>
      </c>
      <c r="C16" s="193">
        <f>IF(C15=2,1,0)</f>
        <v>1</v>
      </c>
      <c r="D16" s="193">
        <f t="shared" ref="D16:F16" si="0">IF(D15=2,1,0)</f>
        <v>1</v>
      </c>
      <c r="E16" s="193">
        <f t="shared" si="0"/>
        <v>1</v>
      </c>
      <c r="F16" s="193">
        <f t="shared" si="0"/>
        <v>1</v>
      </c>
      <c r="G16" s="48"/>
      <c r="H16" s="80"/>
      <c r="I16" s="29"/>
      <c r="J16" s="29"/>
    </row>
    <row r="17" spans="2:10" x14ac:dyDescent="0.25">
      <c r="B17" s="42" t="s">
        <v>366</v>
      </c>
      <c r="C17" s="353">
        <f>INDEX(C43:G43,MATCH(C14,C33:G33,0))</f>
        <v>0.438</v>
      </c>
      <c r="D17" s="273">
        <f>INDEX(C43:G43,MATCH(D14,C33:G33,0))</f>
        <v>0.438</v>
      </c>
      <c r="E17" s="273">
        <f>INDEX(C43:G43,MATCH(E14,C33:G33,0))</f>
        <v>1</v>
      </c>
      <c r="F17" s="273">
        <f>INDEX(C43:G43,MATCH(F14,C33:G33,0))</f>
        <v>1</v>
      </c>
      <c r="G17" s="48" t="s">
        <v>356</v>
      </c>
      <c r="H17" s="80"/>
      <c r="I17" s="29"/>
      <c r="J17" s="29"/>
    </row>
    <row r="18" spans="2:10" x14ac:dyDescent="0.25">
      <c r="B18" s="42"/>
      <c r="C18" s="273"/>
      <c r="D18" s="273"/>
      <c r="E18" s="273"/>
      <c r="F18" s="273"/>
      <c r="G18" s="48"/>
      <c r="H18" s="80"/>
      <c r="I18" s="29"/>
      <c r="J18" s="29"/>
    </row>
    <row r="19" spans="2:10" x14ac:dyDescent="0.25">
      <c r="B19" s="42" t="s">
        <v>301</v>
      </c>
      <c r="C19" s="273">
        <f>C6*C17*$E$12*C16</f>
        <v>7.8839999999999986E-3</v>
      </c>
      <c r="D19" s="273">
        <f t="shared" ref="D19:F19" si="1">D6*D17*$E$12*D16</f>
        <v>1.3140000000000001E-3</v>
      </c>
      <c r="E19" s="273">
        <f t="shared" si="1"/>
        <v>0</v>
      </c>
      <c r="F19" s="273">
        <f t="shared" si="1"/>
        <v>1.9199999999999998E-2</v>
      </c>
      <c r="G19" s="48" t="s">
        <v>33</v>
      </c>
      <c r="H19" s="92"/>
      <c r="I19" s="29"/>
      <c r="J19" s="29"/>
    </row>
    <row r="20" spans="2:10" x14ac:dyDescent="0.25">
      <c r="B20" s="42" t="s">
        <v>365</v>
      </c>
      <c r="C20" s="273">
        <f>C8*C17*$E$12*$C$16</f>
        <v>3.7568836799999994E-3</v>
      </c>
      <c r="D20" s="273">
        <f t="shared" ref="D20:F20" si="2">D8*D17*$E$12*$C$16</f>
        <v>5.9074076159999994E-4</v>
      </c>
      <c r="E20" s="273">
        <f t="shared" si="2"/>
        <v>4.1406606000000002E-3</v>
      </c>
      <c r="F20" s="273">
        <f t="shared" si="2"/>
        <v>1.41958656E-2</v>
      </c>
      <c r="G20" s="48" t="s">
        <v>33</v>
      </c>
      <c r="H20" s="92"/>
      <c r="I20" s="29"/>
      <c r="J20" s="29"/>
    </row>
    <row r="21" spans="2:10" x14ac:dyDescent="0.25">
      <c r="B21" s="42" t="s">
        <v>302</v>
      </c>
      <c r="C21" s="273">
        <f>C7*$E$11*$E$12*C16</f>
        <v>0</v>
      </c>
      <c r="D21" s="273">
        <f t="shared" ref="D21:F21" si="3">D7*$E$11*$E$12*D16</f>
        <v>0</v>
      </c>
      <c r="E21" s="273">
        <f t="shared" si="3"/>
        <v>0</v>
      </c>
      <c r="F21" s="273">
        <f t="shared" si="3"/>
        <v>0</v>
      </c>
      <c r="G21" s="48" t="s">
        <v>33</v>
      </c>
      <c r="H21" s="92"/>
      <c r="I21" s="29"/>
      <c r="J21" s="29"/>
    </row>
    <row r="22" spans="2:10" x14ac:dyDescent="0.25">
      <c r="B22" s="42"/>
      <c r="C22" s="42"/>
      <c r="D22" s="42"/>
      <c r="E22" s="42"/>
      <c r="F22" s="42"/>
      <c r="G22" s="48"/>
      <c r="H22" s="92"/>
      <c r="I22" s="29"/>
      <c r="J22" s="29"/>
    </row>
    <row r="23" spans="2:10" x14ac:dyDescent="0.25">
      <c r="B23" s="49" t="s">
        <v>127</v>
      </c>
      <c r="C23" s="49" t="s">
        <v>87</v>
      </c>
      <c r="D23" s="39"/>
      <c r="E23" s="39"/>
      <c r="F23" s="39"/>
      <c r="G23" s="48"/>
      <c r="H23" s="92" t="s">
        <v>128</v>
      </c>
      <c r="I23" s="92" t="s">
        <v>361</v>
      </c>
      <c r="J23" s="92" t="s">
        <v>353</v>
      </c>
    </row>
    <row r="24" spans="2:10" x14ac:dyDescent="0.25">
      <c r="B24" s="42"/>
      <c r="C24" s="39" t="s">
        <v>129</v>
      </c>
      <c r="D24" s="39"/>
      <c r="E24" s="39"/>
      <c r="F24" s="39"/>
      <c r="G24" s="48" t="s">
        <v>33</v>
      </c>
      <c r="H24" s="92"/>
      <c r="I24" s="29"/>
      <c r="J24" s="92" t="s">
        <v>364</v>
      </c>
    </row>
    <row r="25" spans="2:10" x14ac:dyDescent="0.25">
      <c r="B25" s="42"/>
      <c r="C25" s="39" t="s">
        <v>130</v>
      </c>
      <c r="D25" s="39"/>
      <c r="E25" s="39">
        <v>7.4999999999999997E-3</v>
      </c>
      <c r="F25" s="39"/>
      <c r="G25" s="48" t="s">
        <v>89</v>
      </c>
      <c r="H25" s="92"/>
      <c r="I25" s="29"/>
      <c r="J25" s="29"/>
    </row>
    <row r="26" spans="2:10" x14ac:dyDescent="0.25">
      <c r="B26" s="42"/>
      <c r="C26" s="42" t="s">
        <v>90</v>
      </c>
      <c r="D26" s="42"/>
      <c r="E26" s="358">
        <f>44/28</f>
        <v>1.5714285714285714</v>
      </c>
      <c r="F26" s="42"/>
      <c r="G26" s="48"/>
      <c r="H26" s="80"/>
      <c r="I26" s="29"/>
      <c r="J26" s="29"/>
    </row>
    <row r="27" spans="2:10" x14ac:dyDescent="0.25">
      <c r="B27" s="42"/>
      <c r="C27" s="42"/>
      <c r="D27" s="42"/>
      <c r="E27" s="42"/>
      <c r="F27" s="42"/>
      <c r="G27" s="48"/>
      <c r="H27" s="92"/>
      <c r="I27" s="29"/>
      <c r="J27" s="29"/>
    </row>
    <row r="28" spans="2:10" x14ac:dyDescent="0.25">
      <c r="B28" s="42"/>
      <c r="C28" s="195">
        <f>(C19+C20+C21)*$E$25*$E$26</f>
        <v>1.3719612908571425E-4</v>
      </c>
      <c r="D28" s="195">
        <f t="shared" ref="D28:F28" si="4">(D19+D20+D21)*$E$25*$E$26</f>
        <v>2.2448730404571426E-5</v>
      </c>
      <c r="E28" s="195">
        <f t="shared" si="4"/>
        <v>4.8800642785714284E-5</v>
      </c>
      <c r="F28" s="195">
        <f t="shared" si="4"/>
        <v>3.9359413028571428E-4</v>
      </c>
      <c r="G28" s="48" t="s">
        <v>85</v>
      </c>
      <c r="H28" s="92"/>
      <c r="I28" s="29"/>
      <c r="J28" s="29"/>
    </row>
    <row r="29" spans="2:10" x14ac:dyDescent="0.25">
      <c r="B29" s="68" t="s">
        <v>145</v>
      </c>
      <c r="C29" s="195">
        <f>SUM(C28:F28)</f>
        <v>6.0203963256171423E-4</v>
      </c>
      <c r="D29" s="195"/>
      <c r="E29" s="195"/>
      <c r="F29" s="195"/>
      <c r="G29" s="48" t="s">
        <v>85</v>
      </c>
      <c r="H29" s="92"/>
      <c r="I29" s="29"/>
      <c r="J29" s="29"/>
    </row>
    <row r="30" spans="2:10" x14ac:dyDescent="0.25">
      <c r="B30" s="68" t="s">
        <v>145</v>
      </c>
      <c r="C30" s="194">
        <f>C29*'GWP Factors'!C6</f>
        <v>0.17940781050339083</v>
      </c>
      <c r="D30" s="197"/>
      <c r="E30" s="197"/>
      <c r="F30" s="197"/>
      <c r="G30" s="48" t="s">
        <v>159</v>
      </c>
      <c r="H30" s="92"/>
      <c r="I30" s="29"/>
      <c r="J30" s="29"/>
    </row>
    <row r="31" spans="2:10" x14ac:dyDescent="0.25">
      <c r="B31" s="93" t="s">
        <v>145</v>
      </c>
      <c r="C31" s="352">
        <f>C30*10^3</f>
        <v>179.40781050339083</v>
      </c>
      <c r="D31" s="196"/>
      <c r="E31" s="196"/>
      <c r="F31" s="196"/>
      <c r="G31" s="97" t="s">
        <v>83</v>
      </c>
      <c r="H31" s="94"/>
      <c r="I31" s="147"/>
      <c r="J31" s="147"/>
    </row>
    <row r="32" spans="2:10" x14ac:dyDescent="0.25">
      <c r="B32" s="31"/>
      <c r="C32" s="31" t="s">
        <v>160</v>
      </c>
      <c r="D32" s="31"/>
      <c r="E32" s="31"/>
      <c r="F32" s="31"/>
      <c r="G32" s="31"/>
      <c r="H32" s="37"/>
    </row>
    <row r="33" spans="2:10" x14ac:dyDescent="0.25">
      <c r="B33" s="355" t="s">
        <v>154</v>
      </c>
      <c r="C33" s="356" t="s">
        <v>357</v>
      </c>
      <c r="D33" s="356" t="s">
        <v>358</v>
      </c>
      <c r="E33" s="356" t="s">
        <v>354</v>
      </c>
      <c r="F33" s="356" t="s">
        <v>176</v>
      </c>
      <c r="G33" s="356" t="s">
        <v>355</v>
      </c>
      <c r="H33" s="272" t="s">
        <v>125</v>
      </c>
      <c r="I33" s="272" t="s">
        <v>243</v>
      </c>
      <c r="J33" s="272" t="s">
        <v>360</v>
      </c>
    </row>
    <row r="34" spans="2:10" x14ac:dyDescent="0.25">
      <c r="B34" s="17" t="s">
        <v>211</v>
      </c>
      <c r="C34" s="269">
        <v>0.192</v>
      </c>
      <c r="D34" s="269">
        <v>1</v>
      </c>
      <c r="E34" s="269">
        <v>0.99</v>
      </c>
      <c r="F34" s="269">
        <v>0.93200000000000005</v>
      </c>
      <c r="G34" s="269">
        <v>0.59899999999999998</v>
      </c>
      <c r="H34" s="29"/>
      <c r="I34" s="29"/>
      <c r="J34" s="29"/>
    </row>
    <row r="35" spans="2:10" x14ac:dyDescent="0.25">
      <c r="B35" s="17" t="s">
        <v>212</v>
      </c>
      <c r="C35" s="269">
        <v>0.438</v>
      </c>
      <c r="D35" s="269">
        <v>1</v>
      </c>
      <c r="E35" s="269"/>
      <c r="F35" s="269"/>
      <c r="G35" s="269">
        <v>0.70199999999999996</v>
      </c>
      <c r="H35" s="29"/>
      <c r="I35" s="29"/>
      <c r="J35" s="29"/>
    </row>
    <row r="36" spans="2:10" x14ac:dyDescent="0.25">
      <c r="B36" s="17" t="s">
        <v>213</v>
      </c>
      <c r="C36" s="269">
        <v>4.2999999999999997E-2</v>
      </c>
      <c r="D36" s="269">
        <v>1</v>
      </c>
      <c r="E36" s="269">
        <v>0.65600000000000003</v>
      </c>
      <c r="F36" s="269">
        <v>0.71299999999999997</v>
      </c>
      <c r="G36" s="269">
        <v>0.29299999999999998</v>
      </c>
      <c r="H36" s="29"/>
      <c r="I36" s="29"/>
      <c r="J36" s="29"/>
    </row>
    <row r="37" spans="2:10" x14ac:dyDescent="0.25">
      <c r="B37" s="17" t="s">
        <v>198</v>
      </c>
      <c r="C37" s="269">
        <v>0.27900000000000003</v>
      </c>
      <c r="D37" s="269">
        <v>1</v>
      </c>
      <c r="E37" s="269"/>
      <c r="F37" s="269"/>
      <c r="G37" s="269">
        <v>0.66700000000000004</v>
      </c>
      <c r="H37" s="29"/>
      <c r="I37" s="29"/>
      <c r="J37" s="29"/>
    </row>
    <row r="38" spans="2:10" x14ac:dyDescent="0.25">
      <c r="B38" s="17" t="s">
        <v>214</v>
      </c>
      <c r="C38" s="269">
        <v>0.223</v>
      </c>
      <c r="D38" s="269">
        <v>1</v>
      </c>
      <c r="E38" s="269">
        <v>0.75900000000000001</v>
      </c>
      <c r="F38" s="269">
        <v>1</v>
      </c>
      <c r="G38" s="269">
        <v>0.91100000000000003</v>
      </c>
      <c r="H38" s="29"/>
      <c r="I38" s="29"/>
      <c r="J38" s="29"/>
    </row>
    <row r="39" spans="2:10" x14ac:dyDescent="0.25">
      <c r="B39" s="17" t="s">
        <v>199</v>
      </c>
      <c r="C39" s="269">
        <v>0.77700000000000002</v>
      </c>
      <c r="D39" s="269">
        <v>1</v>
      </c>
      <c r="E39" s="269"/>
      <c r="F39" s="269"/>
      <c r="G39" s="269">
        <v>0.85699999999999998</v>
      </c>
      <c r="H39" s="29"/>
      <c r="I39" s="29"/>
      <c r="J39" s="29"/>
    </row>
    <row r="40" spans="2:10" x14ac:dyDescent="0.25">
      <c r="B40" s="17" t="s">
        <v>216</v>
      </c>
      <c r="C40" s="269">
        <v>0.192</v>
      </c>
      <c r="D40" s="269">
        <v>1</v>
      </c>
      <c r="E40" s="269"/>
      <c r="F40" s="269"/>
      <c r="G40" s="269">
        <v>0.59899999999999998</v>
      </c>
      <c r="H40" s="29"/>
      <c r="I40" s="29"/>
      <c r="J40" s="29"/>
    </row>
    <row r="41" spans="2:10" x14ac:dyDescent="0.25">
      <c r="B41" s="17" t="s">
        <v>215</v>
      </c>
      <c r="C41" s="269">
        <v>0.98499999999999999</v>
      </c>
      <c r="D41" s="269">
        <v>1</v>
      </c>
      <c r="E41" s="269"/>
      <c r="F41" s="269"/>
      <c r="G41" s="269">
        <v>0.996</v>
      </c>
      <c r="H41" s="29"/>
      <c r="I41" s="29"/>
      <c r="J41" s="29"/>
    </row>
    <row r="42" spans="2:10" x14ac:dyDescent="0.25">
      <c r="H42" s="29"/>
      <c r="I42" s="29"/>
      <c r="J42" s="29"/>
    </row>
    <row r="43" spans="2:10" s="270" customFormat="1" x14ac:dyDescent="0.25">
      <c r="B43" s="354" t="str">
        <f>'Electricity &amp; Diesel'!L13</f>
        <v>Vic</v>
      </c>
      <c r="C43" s="271">
        <f>INDEX(C34:C41,MATCH(B43,B34:B41,0))</f>
        <v>0.438</v>
      </c>
      <c r="D43" s="271">
        <f>INDEX(D34:D41,MATCH(B43,B34:B41,0))</f>
        <v>1</v>
      </c>
      <c r="E43" s="271">
        <f>INDEX(E34:E41,MATCH(B43,B34:B41,0))</f>
        <v>0</v>
      </c>
      <c r="F43" s="271">
        <f>INDEX(F34:F41,MATCH(B43,B34:B41,0))</f>
        <v>0</v>
      </c>
      <c r="G43" s="271">
        <f>INDEX(G34:G41,MATCH(B43,B34:B41,0))</f>
        <v>0.70199999999999996</v>
      </c>
      <c r="H43" s="94"/>
      <c r="I43" s="94"/>
      <c r="J43" s="94"/>
    </row>
  </sheetData>
  <sheetProtection sheet="1" objects="1" scenarios="1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X47"/>
  <sheetViews>
    <sheetView showGridLines="0" workbookViewId="0"/>
  </sheetViews>
  <sheetFormatPr defaultColWidth="9.140625" defaultRowHeight="15.75" x14ac:dyDescent="0.25"/>
  <cols>
    <col min="1" max="1" width="2.85546875" style="31" customWidth="1"/>
    <col min="2" max="2" width="56.42578125" style="31" customWidth="1"/>
    <col min="3" max="6" width="14.140625" style="31" customWidth="1"/>
    <col min="7" max="7" width="33.28515625" style="31" customWidth="1"/>
    <col min="8" max="8" width="24" style="31" customWidth="1"/>
    <col min="9" max="9" width="19.7109375" style="31" customWidth="1"/>
    <col min="10" max="10" width="19.42578125" style="31" customWidth="1"/>
    <col min="11" max="15" width="9.140625" style="31"/>
    <col min="16" max="16" width="46.7109375" style="31" customWidth="1"/>
    <col min="17" max="17" width="16" style="31" customWidth="1"/>
    <col min="18" max="18" width="20.42578125" style="31" customWidth="1"/>
    <col min="19" max="19" width="15.42578125" style="31" customWidth="1"/>
    <col min="20" max="20" width="19.7109375" style="31" customWidth="1"/>
    <col min="21" max="21" width="23.42578125" style="31" customWidth="1"/>
    <col min="22" max="22" width="21.42578125" style="31" customWidth="1"/>
    <col min="23" max="23" width="12.85546875" style="31" customWidth="1"/>
    <col min="24" max="24" width="14.85546875" style="31" customWidth="1"/>
    <col min="25" max="16384" width="9.140625" style="31"/>
  </cols>
  <sheetData>
    <row r="1" spans="2:11" ht="33.950000000000003" customHeight="1" x14ac:dyDescent="0.25">
      <c r="B1" s="36" t="s">
        <v>92</v>
      </c>
      <c r="C1" s="36"/>
      <c r="D1" s="21"/>
      <c r="E1" s="21"/>
      <c r="F1" s="21"/>
      <c r="G1" s="21"/>
      <c r="H1" s="21"/>
      <c r="I1" s="21"/>
      <c r="J1" s="21"/>
      <c r="K1" s="21"/>
    </row>
    <row r="2" spans="2:11" x14ac:dyDescent="0.25">
      <c r="B2" s="30"/>
      <c r="C2" s="30"/>
      <c r="D2" s="21"/>
      <c r="E2" s="21"/>
      <c r="F2" s="21"/>
      <c r="G2" s="21"/>
      <c r="H2" s="21"/>
      <c r="I2" s="21"/>
      <c r="J2" s="21"/>
      <c r="K2" s="21"/>
    </row>
    <row r="3" spans="2:11" x14ac:dyDescent="0.25">
      <c r="B3" s="89" t="s">
        <v>53</v>
      </c>
      <c r="C3" s="198" t="str">
        <f>'Crop Residues'!C3</f>
        <v>Wheat</v>
      </c>
      <c r="D3" s="198" t="str">
        <f>'Crop Residues'!D3</f>
        <v>Barley</v>
      </c>
      <c r="E3" s="198" t="str">
        <f>'Crop Residues'!E3</f>
        <v>Pulses</v>
      </c>
      <c r="F3" s="198" t="str">
        <f>'Crop Residues'!F3</f>
        <v>Oilseeds</v>
      </c>
      <c r="G3" s="76"/>
      <c r="H3" s="90" t="s">
        <v>151</v>
      </c>
      <c r="I3" s="90" t="s">
        <v>163</v>
      </c>
      <c r="J3" s="90" t="s">
        <v>178</v>
      </c>
    </row>
    <row r="4" spans="2:11" x14ac:dyDescent="0.25">
      <c r="B4" s="71"/>
      <c r="C4" s="72"/>
      <c r="D4" s="72"/>
      <c r="E4" s="72"/>
      <c r="F4" s="72"/>
      <c r="G4" s="71"/>
      <c r="H4" s="83"/>
      <c r="I4" s="83"/>
      <c r="J4" s="83"/>
    </row>
    <row r="5" spans="2:11" x14ac:dyDescent="0.25">
      <c r="B5" s="71" t="s">
        <v>344</v>
      </c>
      <c r="C5" s="357">
        <f>'Crop Residues'!C6</f>
        <v>3</v>
      </c>
      <c r="D5" s="357">
        <f>'Crop Residues'!D6*10^-3</f>
        <v>5.0000000000000001E-4</v>
      </c>
      <c r="E5" s="357">
        <f>'Crop Residues'!E6*10^-3</f>
        <v>1E-3</v>
      </c>
      <c r="F5" s="357">
        <f>'Crop Residues'!F6*10^-3</f>
        <v>2.3999999999999998E-3</v>
      </c>
      <c r="G5" s="43" t="s">
        <v>32</v>
      </c>
      <c r="H5" s="83"/>
      <c r="I5" s="83"/>
      <c r="J5" s="83"/>
    </row>
    <row r="6" spans="2:11" x14ac:dyDescent="0.25">
      <c r="B6" s="71" t="s">
        <v>72</v>
      </c>
      <c r="C6" s="357">
        <f>'Data input'!C17</f>
        <v>1</v>
      </c>
      <c r="D6" s="357">
        <f>'Data input'!D17</f>
        <v>0</v>
      </c>
      <c r="E6" s="357">
        <f>'Data input'!E17</f>
        <v>0</v>
      </c>
      <c r="F6" s="357">
        <f>'Data input'!F17</f>
        <v>0</v>
      </c>
      <c r="G6" s="43" t="s">
        <v>66</v>
      </c>
      <c r="H6" s="83"/>
      <c r="I6" s="83"/>
      <c r="J6" s="83"/>
    </row>
    <row r="7" spans="2:11" x14ac:dyDescent="0.25">
      <c r="B7" s="71" t="s">
        <v>67</v>
      </c>
      <c r="C7" s="357">
        <f>'Crop Residues'!C7</f>
        <v>1.5</v>
      </c>
      <c r="D7" s="357">
        <f>'Crop Residues'!D7</f>
        <v>1.24</v>
      </c>
      <c r="E7" s="357">
        <f>'Crop Residues'!E7</f>
        <v>1.37</v>
      </c>
      <c r="F7" s="357">
        <f>'Crop Residues'!F7</f>
        <v>2.1</v>
      </c>
      <c r="G7" s="43" t="s">
        <v>59</v>
      </c>
      <c r="H7" s="83"/>
      <c r="I7" s="83"/>
      <c r="J7" s="83"/>
    </row>
    <row r="8" spans="2:11" x14ac:dyDescent="0.25">
      <c r="B8" s="71" t="s">
        <v>70</v>
      </c>
      <c r="C8" s="357">
        <f>'Crop Residues'!C14</f>
        <v>0.5</v>
      </c>
      <c r="D8" s="357">
        <f>'Crop Residues'!D14</f>
        <v>0.5</v>
      </c>
      <c r="E8" s="357">
        <f>'Crop Residues'!E14</f>
        <v>0.5</v>
      </c>
      <c r="F8" s="357">
        <f>'Crop Residues'!F14</f>
        <v>0.5</v>
      </c>
      <c r="G8" s="43" t="s">
        <v>345</v>
      </c>
      <c r="H8" s="83"/>
      <c r="I8" s="83"/>
      <c r="J8" s="83"/>
    </row>
    <row r="9" spans="2:11" x14ac:dyDescent="0.25">
      <c r="B9" s="71" t="s">
        <v>69</v>
      </c>
      <c r="C9" s="357">
        <f>'Crop Residues'!C9</f>
        <v>0.88</v>
      </c>
      <c r="D9" s="357">
        <f>'Crop Residues'!D9</f>
        <v>0.88</v>
      </c>
      <c r="E9" s="357">
        <f>'Crop Residues'!E9</f>
        <v>0.87</v>
      </c>
      <c r="F9" s="357">
        <f>'Crop Residues'!F9</f>
        <v>0.96</v>
      </c>
      <c r="G9" s="43" t="s">
        <v>62</v>
      </c>
      <c r="H9" s="83"/>
      <c r="I9" s="83"/>
      <c r="J9" s="83"/>
    </row>
    <row r="10" spans="2:11" x14ac:dyDescent="0.25">
      <c r="B10" s="71" t="s">
        <v>71</v>
      </c>
      <c r="C10" s="357">
        <v>0.96</v>
      </c>
      <c r="D10" s="357">
        <v>0.96</v>
      </c>
      <c r="E10" s="357">
        <v>0.96</v>
      </c>
      <c r="F10" s="357">
        <v>0.96</v>
      </c>
      <c r="G10" s="43" t="s">
        <v>63</v>
      </c>
      <c r="H10" s="83"/>
      <c r="I10" s="83"/>
      <c r="J10" s="83"/>
    </row>
    <row r="11" spans="2:11" x14ac:dyDescent="0.25">
      <c r="B11" s="71" t="s">
        <v>79</v>
      </c>
      <c r="C11" s="357">
        <f>'Crop Residues'!C15</f>
        <v>0.4</v>
      </c>
      <c r="D11" s="357">
        <f>'Crop Residues'!D15</f>
        <v>0.4</v>
      </c>
      <c r="E11" s="357">
        <f>'Crop Residues'!E15</f>
        <v>0.4</v>
      </c>
      <c r="F11" s="357">
        <f>'Crop Residues'!F15</f>
        <v>0.4</v>
      </c>
      <c r="G11" s="43"/>
      <c r="H11" s="83"/>
      <c r="I11" s="83"/>
      <c r="J11" s="83"/>
    </row>
    <row r="12" spans="2:11" ht="17.25" customHeight="1" x14ac:dyDescent="0.25">
      <c r="B12" s="71" t="s">
        <v>239</v>
      </c>
      <c r="C12" s="357">
        <f>'Crop Residues'!C10</f>
        <v>6.0000000000000001E-3</v>
      </c>
      <c r="D12" s="357">
        <f>'Crop Residues'!D10</f>
        <v>7.0000000000000001E-3</v>
      </c>
      <c r="E12" s="357">
        <f>'Crop Residues'!E10</f>
        <v>8.9999999999999993E-3</v>
      </c>
      <c r="F12" s="357">
        <f>'Crop Residues'!F10</f>
        <v>8.9999999999999993E-3</v>
      </c>
      <c r="G12" s="43"/>
      <c r="H12" s="83"/>
      <c r="I12" s="83"/>
      <c r="J12" s="83"/>
    </row>
    <row r="13" spans="2:11" ht="17.25" customHeight="1" x14ac:dyDescent="0.25">
      <c r="B13" s="71"/>
      <c r="C13" s="71"/>
      <c r="D13" s="71"/>
      <c r="E13" s="71"/>
      <c r="F13" s="71"/>
      <c r="G13" s="43"/>
      <c r="H13" s="83"/>
      <c r="I13" s="83"/>
      <c r="J13" s="83"/>
    </row>
    <row r="14" spans="2:11" x14ac:dyDescent="0.25">
      <c r="B14" s="70" t="s">
        <v>54</v>
      </c>
      <c r="C14" s="70" t="s">
        <v>55</v>
      </c>
      <c r="D14" s="71"/>
      <c r="E14" s="71"/>
      <c r="F14" s="71"/>
      <c r="G14" s="43"/>
      <c r="H14" s="82" t="s">
        <v>57</v>
      </c>
      <c r="I14" s="82" t="s">
        <v>342</v>
      </c>
      <c r="J14" s="82" t="s">
        <v>334</v>
      </c>
    </row>
    <row r="15" spans="2:11" x14ac:dyDescent="0.25">
      <c r="B15" s="71"/>
      <c r="C15" s="71" t="s">
        <v>56</v>
      </c>
      <c r="D15" s="71"/>
      <c r="E15" s="71"/>
      <c r="F15" s="71"/>
      <c r="G15" s="43" t="s">
        <v>32</v>
      </c>
      <c r="H15" s="83"/>
      <c r="I15" s="83"/>
      <c r="J15" s="83"/>
    </row>
    <row r="16" spans="2:11" x14ac:dyDescent="0.25">
      <c r="B16" s="71"/>
      <c r="C16" s="71" t="s">
        <v>58</v>
      </c>
      <c r="D16" s="71"/>
      <c r="E16" s="71"/>
      <c r="F16" s="71"/>
      <c r="G16" s="43" t="s">
        <v>59</v>
      </c>
      <c r="H16" s="82" t="s">
        <v>68</v>
      </c>
      <c r="I16" s="82" t="s">
        <v>190</v>
      </c>
      <c r="J16" s="82" t="s">
        <v>335</v>
      </c>
    </row>
    <row r="17" spans="2:24" x14ac:dyDescent="0.25">
      <c r="B17" s="71"/>
      <c r="C17" s="71" t="s">
        <v>60</v>
      </c>
      <c r="D17" s="71"/>
      <c r="E17" s="71"/>
      <c r="F17" s="71"/>
      <c r="G17" s="43"/>
      <c r="H17" s="82" t="s">
        <v>68</v>
      </c>
      <c r="I17" s="82" t="s">
        <v>190</v>
      </c>
      <c r="J17" s="82" t="s">
        <v>335</v>
      </c>
    </row>
    <row r="18" spans="2:24" x14ac:dyDescent="0.25">
      <c r="B18" s="71"/>
      <c r="C18" s="71" t="s">
        <v>61</v>
      </c>
      <c r="D18" s="71"/>
      <c r="E18" s="71"/>
      <c r="F18" s="71"/>
      <c r="G18" s="43" t="s">
        <v>62</v>
      </c>
      <c r="H18" s="82" t="s">
        <v>68</v>
      </c>
      <c r="I18" s="82" t="s">
        <v>190</v>
      </c>
      <c r="J18" s="82" t="s">
        <v>335</v>
      </c>
    </row>
    <row r="19" spans="2:24" x14ac:dyDescent="0.25">
      <c r="B19" s="71"/>
      <c r="C19" s="71" t="s">
        <v>64</v>
      </c>
      <c r="D19" s="71"/>
      <c r="E19" s="71"/>
      <c r="F19" s="71"/>
      <c r="G19" s="43" t="s">
        <v>63</v>
      </c>
      <c r="H19" s="82" t="s">
        <v>68</v>
      </c>
      <c r="I19" s="82" t="s">
        <v>190</v>
      </c>
      <c r="J19" s="82" t="s">
        <v>335</v>
      </c>
    </row>
    <row r="20" spans="2:24" x14ac:dyDescent="0.25">
      <c r="B20" s="71"/>
      <c r="C20" s="71" t="s">
        <v>65</v>
      </c>
      <c r="D20" s="71"/>
      <c r="E20" s="71"/>
      <c r="F20" s="71"/>
      <c r="G20" s="43" t="s">
        <v>66</v>
      </c>
      <c r="H20" s="82" t="s">
        <v>68</v>
      </c>
      <c r="I20" s="82" t="s">
        <v>190</v>
      </c>
      <c r="J20" s="82" t="s">
        <v>335</v>
      </c>
    </row>
    <row r="21" spans="2:24" x14ac:dyDescent="0.25">
      <c r="B21" s="71"/>
      <c r="C21" s="71"/>
      <c r="D21" s="71"/>
      <c r="E21" s="71"/>
      <c r="F21" s="71"/>
      <c r="G21" s="43"/>
      <c r="H21" s="83"/>
      <c r="I21" s="83"/>
      <c r="J21" s="83"/>
      <c r="K21" s="33"/>
      <c r="X21" s="32"/>
    </row>
    <row r="22" spans="2:24" x14ac:dyDescent="0.25">
      <c r="B22" s="71"/>
      <c r="C22" s="199">
        <f>C5*C7*C8*C9*C10*C6</f>
        <v>1.9007999999999998</v>
      </c>
      <c r="D22" s="199">
        <f t="shared" ref="D22:F22" si="0">D5*D7*D8*D9*D10*D6</f>
        <v>0</v>
      </c>
      <c r="E22" s="199">
        <f t="shared" si="0"/>
        <v>0</v>
      </c>
      <c r="F22" s="199">
        <f t="shared" si="0"/>
        <v>0</v>
      </c>
      <c r="G22" s="43" t="s">
        <v>32</v>
      </c>
      <c r="H22" s="83"/>
      <c r="I22" s="83"/>
      <c r="J22" s="83"/>
      <c r="K22" s="33"/>
      <c r="X22" s="32"/>
    </row>
    <row r="23" spans="2:24" x14ac:dyDescent="0.25">
      <c r="B23" s="71"/>
      <c r="C23" s="71"/>
      <c r="D23" s="71"/>
      <c r="E23" s="71"/>
      <c r="F23" s="71"/>
      <c r="G23" s="43"/>
      <c r="H23" s="83"/>
      <c r="I23" s="83"/>
      <c r="J23" s="83"/>
      <c r="K23" s="33"/>
      <c r="X23" s="32"/>
    </row>
    <row r="24" spans="2:24" x14ac:dyDescent="0.25">
      <c r="B24" s="70" t="s">
        <v>80</v>
      </c>
      <c r="C24" s="70" t="s">
        <v>73</v>
      </c>
      <c r="D24" s="71"/>
      <c r="E24" s="71"/>
      <c r="F24" s="71"/>
      <c r="G24" s="43"/>
      <c r="H24" s="82" t="s">
        <v>81</v>
      </c>
      <c r="I24" s="82" t="s">
        <v>343</v>
      </c>
      <c r="J24" s="82" t="s">
        <v>347</v>
      </c>
      <c r="K24" s="33"/>
      <c r="X24" s="32"/>
    </row>
    <row r="25" spans="2:24" x14ac:dyDescent="0.25">
      <c r="B25" s="71"/>
      <c r="C25" s="71" t="s">
        <v>74</v>
      </c>
      <c r="D25" s="71"/>
      <c r="E25" s="71"/>
      <c r="F25" s="71"/>
      <c r="G25" s="43"/>
      <c r="H25" s="83"/>
      <c r="I25" s="83"/>
      <c r="J25" s="83"/>
      <c r="K25" s="33"/>
      <c r="X25" s="32"/>
    </row>
    <row r="26" spans="2:24" x14ac:dyDescent="0.25">
      <c r="B26" s="71"/>
      <c r="C26" s="71" t="s">
        <v>75</v>
      </c>
      <c r="D26" s="71"/>
      <c r="E26" s="71">
        <v>3.5000000000000001E-3</v>
      </c>
      <c r="F26" s="71"/>
      <c r="G26" s="43" t="s">
        <v>76</v>
      </c>
      <c r="H26" s="82" t="s">
        <v>77</v>
      </c>
      <c r="I26" s="82" t="s">
        <v>346</v>
      </c>
      <c r="J26" s="82" t="s">
        <v>334</v>
      </c>
      <c r="K26" s="33"/>
      <c r="X26" s="32"/>
    </row>
    <row r="27" spans="2:24" x14ac:dyDescent="0.25">
      <c r="B27" s="71"/>
      <c r="C27" s="71" t="s">
        <v>78</v>
      </c>
      <c r="D27" s="71"/>
      <c r="E27" s="261">
        <f>'GWP Factors'!C14</f>
        <v>1.3333333333333333</v>
      </c>
      <c r="F27" s="71"/>
      <c r="G27" s="43"/>
      <c r="H27" s="82" t="s">
        <v>77</v>
      </c>
      <c r="I27" s="82" t="s">
        <v>346</v>
      </c>
      <c r="J27" s="82" t="s">
        <v>334</v>
      </c>
      <c r="K27" s="35"/>
      <c r="X27" s="32"/>
    </row>
    <row r="28" spans="2:24" x14ac:dyDescent="0.25">
      <c r="B28" s="71"/>
      <c r="C28" s="71"/>
      <c r="D28" s="71"/>
      <c r="E28" s="71"/>
      <c r="F28" s="71"/>
      <c r="G28" s="43"/>
      <c r="H28" s="83"/>
      <c r="I28" s="83"/>
      <c r="J28" s="83"/>
      <c r="X28" s="32"/>
    </row>
    <row r="29" spans="2:24" x14ac:dyDescent="0.25">
      <c r="B29" s="71"/>
      <c r="C29" s="200">
        <f>C22*C11*$E$26*$E$27</f>
        <v>3.5481599999999999E-3</v>
      </c>
      <c r="D29" s="200">
        <f t="shared" ref="D29:F29" si="1">D22*D11*$E$26*$E$27</f>
        <v>0</v>
      </c>
      <c r="E29" s="200">
        <f t="shared" si="1"/>
        <v>0</v>
      </c>
      <c r="F29" s="200">
        <f t="shared" si="1"/>
        <v>0</v>
      </c>
      <c r="G29" s="43" t="s">
        <v>82</v>
      </c>
      <c r="H29" s="83"/>
      <c r="I29" s="83"/>
      <c r="J29" s="83"/>
      <c r="R29" s="30"/>
      <c r="S29" s="34"/>
      <c r="T29" s="34"/>
      <c r="U29" s="34"/>
      <c r="V29" s="34"/>
      <c r="W29" s="34"/>
      <c r="X29" s="32"/>
    </row>
    <row r="30" spans="2:24" x14ac:dyDescent="0.25">
      <c r="B30" s="71"/>
      <c r="C30" s="200">
        <f>SUM(C29:F29)</f>
        <v>3.5481599999999999E-3</v>
      </c>
      <c r="D30" s="199"/>
      <c r="E30" s="199"/>
      <c r="F30" s="199"/>
      <c r="G30" s="43" t="s">
        <v>82</v>
      </c>
      <c r="H30" s="83"/>
      <c r="I30" s="83"/>
      <c r="J30" s="83"/>
      <c r="R30" s="30"/>
      <c r="S30" s="34"/>
      <c r="T30" s="34"/>
      <c r="U30" s="34"/>
      <c r="V30" s="34"/>
      <c r="W30" s="34"/>
      <c r="X30" s="32"/>
    </row>
    <row r="31" spans="2:24" x14ac:dyDescent="0.25">
      <c r="B31" s="71"/>
      <c r="C31" s="199">
        <f>C30*'GWP Factors'!C5</f>
        <v>8.8703999999999991E-2</v>
      </c>
      <c r="D31" s="199"/>
      <c r="E31" s="199"/>
      <c r="F31" s="199"/>
      <c r="G31" s="202" t="s">
        <v>159</v>
      </c>
      <c r="H31" s="84"/>
      <c r="I31" s="84"/>
      <c r="J31" s="84"/>
      <c r="R31" s="30"/>
      <c r="S31" s="34"/>
      <c r="T31" s="34"/>
      <c r="U31" s="34"/>
      <c r="V31" s="34"/>
      <c r="W31" s="34"/>
      <c r="X31" s="32"/>
    </row>
    <row r="32" spans="2:24" x14ac:dyDescent="0.25">
      <c r="B32" s="87" t="s">
        <v>295</v>
      </c>
      <c r="C32" s="266">
        <f>C31*10^3</f>
        <v>88.703999999999994</v>
      </c>
      <c r="D32" s="262"/>
      <c r="E32" s="263"/>
      <c r="F32" s="263"/>
      <c r="G32" s="264" t="s">
        <v>83</v>
      </c>
      <c r="H32" s="265"/>
      <c r="I32" s="265"/>
      <c r="J32" s="265"/>
      <c r="R32" s="30"/>
      <c r="S32" s="34"/>
      <c r="T32" s="34"/>
      <c r="U32" s="34"/>
      <c r="V32" s="34"/>
      <c r="W32" s="34"/>
      <c r="X32" s="32"/>
    </row>
    <row r="33" spans="2:24" x14ac:dyDescent="0.25">
      <c r="B33" s="71"/>
      <c r="C33" s="71"/>
      <c r="D33" s="71"/>
      <c r="E33" s="71"/>
      <c r="F33" s="71"/>
      <c r="G33" s="43"/>
      <c r="H33" s="83"/>
      <c r="I33" s="83"/>
      <c r="J33" s="83"/>
      <c r="R33" s="30"/>
      <c r="S33" s="34"/>
      <c r="T33" s="34"/>
      <c r="U33" s="34"/>
      <c r="V33" s="34"/>
      <c r="W33" s="34"/>
      <c r="X33" s="32"/>
    </row>
    <row r="34" spans="2:24" x14ac:dyDescent="0.25">
      <c r="B34" s="70" t="s">
        <v>84</v>
      </c>
      <c r="C34" s="70" t="s">
        <v>348</v>
      </c>
      <c r="D34" s="73"/>
      <c r="E34" s="74"/>
      <c r="F34" s="74"/>
      <c r="G34" s="74"/>
      <c r="H34" s="85" t="s">
        <v>86</v>
      </c>
      <c r="I34" s="85" t="s">
        <v>349</v>
      </c>
      <c r="J34" s="82" t="s">
        <v>335</v>
      </c>
      <c r="R34" s="30"/>
      <c r="S34" s="34"/>
      <c r="T34" s="34"/>
      <c r="U34" s="34"/>
      <c r="V34" s="34"/>
      <c r="W34" s="34"/>
      <c r="X34" s="32"/>
    </row>
    <row r="35" spans="2:24" x14ac:dyDescent="0.25">
      <c r="B35" s="71"/>
      <c r="C35" s="71" t="s">
        <v>42</v>
      </c>
      <c r="D35" s="267">
        <v>7.6E-3</v>
      </c>
      <c r="E35" s="74"/>
      <c r="F35" s="74"/>
      <c r="G35" s="43" t="s">
        <v>76</v>
      </c>
      <c r="H35" s="82" t="s">
        <v>77</v>
      </c>
      <c r="I35" s="82" t="s">
        <v>346</v>
      </c>
      <c r="J35" s="82" t="s">
        <v>334</v>
      </c>
      <c r="R35" s="30"/>
      <c r="S35" s="34"/>
      <c r="T35" s="34"/>
      <c r="U35" s="34"/>
      <c r="V35" s="34"/>
      <c r="W35" s="34"/>
      <c r="X35" s="32"/>
    </row>
    <row r="36" spans="2:24" x14ac:dyDescent="0.25">
      <c r="B36" s="71"/>
      <c r="C36" s="71" t="s">
        <v>43</v>
      </c>
      <c r="D36" s="216">
        <f>'GWP Factors'!C15</f>
        <v>1.5714285714285714</v>
      </c>
      <c r="E36" s="74"/>
      <c r="F36" s="74"/>
      <c r="G36" s="74"/>
      <c r="H36" s="82" t="s">
        <v>77</v>
      </c>
      <c r="I36" s="82" t="s">
        <v>346</v>
      </c>
      <c r="J36" s="82" t="s">
        <v>334</v>
      </c>
      <c r="R36" s="19"/>
      <c r="S36" s="34"/>
      <c r="T36" s="34"/>
      <c r="U36" s="34"/>
      <c r="V36" s="34"/>
      <c r="W36" s="34"/>
      <c r="X36" s="32"/>
    </row>
    <row r="37" spans="2:24" x14ac:dyDescent="0.25">
      <c r="B37" s="71"/>
      <c r="C37" s="71"/>
      <c r="D37" s="73"/>
      <c r="E37" s="74"/>
      <c r="F37" s="74"/>
      <c r="G37" s="74"/>
      <c r="H37" s="86"/>
      <c r="I37" s="86"/>
      <c r="J37" s="86"/>
    </row>
    <row r="38" spans="2:24" x14ac:dyDescent="0.25">
      <c r="B38" s="71"/>
      <c r="C38" s="200">
        <f>C22*C12*$D$35*$D$36</f>
        <v>1.3620589714285713E-4</v>
      </c>
      <c r="D38" s="200">
        <f t="shared" ref="D38:F38" si="2">D22*D12*$D$35*$D$36</f>
        <v>0</v>
      </c>
      <c r="E38" s="200">
        <f t="shared" si="2"/>
        <v>0</v>
      </c>
      <c r="F38" s="200">
        <f t="shared" si="2"/>
        <v>0</v>
      </c>
      <c r="G38" s="74" t="s">
        <v>85</v>
      </c>
      <c r="H38" s="86"/>
      <c r="I38" s="86"/>
      <c r="J38" s="86"/>
    </row>
    <row r="39" spans="2:24" x14ac:dyDescent="0.25">
      <c r="B39" s="70" t="s">
        <v>145</v>
      </c>
      <c r="C39" s="200">
        <f>SUM(C38:F38)</f>
        <v>1.3620589714285713E-4</v>
      </c>
      <c r="D39" s="200"/>
      <c r="E39" s="200"/>
      <c r="F39" s="200"/>
      <c r="G39" s="74" t="s">
        <v>85</v>
      </c>
      <c r="H39" s="86"/>
      <c r="I39" s="86"/>
      <c r="J39" s="86"/>
    </row>
    <row r="40" spans="2:24" x14ac:dyDescent="0.25">
      <c r="B40" s="70" t="s">
        <v>145</v>
      </c>
      <c r="C40" s="200">
        <f>C39*'GWP Factors'!C6</f>
        <v>4.0589357348571421E-2</v>
      </c>
      <c r="D40" s="200"/>
      <c r="E40" s="200"/>
      <c r="F40" s="200"/>
      <c r="G40" s="74" t="s">
        <v>159</v>
      </c>
      <c r="H40" s="86"/>
      <c r="I40" s="86"/>
      <c r="J40" s="86"/>
    </row>
    <row r="41" spans="2:24" x14ac:dyDescent="0.25">
      <c r="B41" s="87" t="s">
        <v>145</v>
      </c>
      <c r="C41" s="266">
        <f>C40*10^3</f>
        <v>40.589357348571419</v>
      </c>
      <c r="D41" s="201"/>
      <c r="E41" s="201"/>
      <c r="F41" s="201"/>
      <c r="G41" s="75" t="s">
        <v>83</v>
      </c>
      <c r="H41" s="88"/>
      <c r="I41" s="88"/>
      <c r="J41" s="88"/>
    </row>
    <row r="42" spans="2:24" x14ac:dyDescent="0.25">
      <c r="D42" s="30"/>
      <c r="E42" s="34"/>
      <c r="F42" s="34"/>
      <c r="G42" s="34"/>
      <c r="H42" s="34"/>
      <c r="I42" s="34"/>
    </row>
    <row r="43" spans="2:24" x14ac:dyDescent="0.25">
      <c r="C43" s="41"/>
      <c r="E43" s="41"/>
      <c r="F43" s="41"/>
    </row>
    <row r="47" spans="2:24" x14ac:dyDescent="0.25">
      <c r="C47" s="131"/>
      <c r="E47" s="131"/>
    </row>
  </sheetData>
  <sheetProtection sheet="1" objects="1" scenarios="1"/>
  <phoneticPr fontId="6" type="noConversion"/>
  <pageMargins left="0.7" right="0.7" top="0.75" bottom="0.75" header="0.3" footer="0.3"/>
  <pageSetup paperSize="9" orientation="portrait"/>
  <ignoredErrors>
    <ignoredError sqref="C3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Data summary</vt:lpstr>
      <vt:lpstr>Data input</vt:lpstr>
      <vt:lpstr>Fuel</vt:lpstr>
      <vt:lpstr>Fertiliser</vt:lpstr>
      <vt:lpstr>Urea Application</vt:lpstr>
      <vt:lpstr>Crop Residues</vt:lpstr>
      <vt:lpstr>Atmospheric deposition</vt:lpstr>
      <vt:lpstr>Leaching and runoff</vt:lpstr>
      <vt:lpstr>Field burning</vt:lpstr>
      <vt:lpstr>Liming</vt:lpstr>
      <vt:lpstr>Electricity &amp; Diesel</vt:lpstr>
      <vt:lpstr>GWP Factors</vt:lpstr>
      <vt:lpstr>Crop1</vt:lpstr>
      <vt:lpstr>Crop2</vt:lpstr>
      <vt:lpstr>Crop3</vt:lpstr>
      <vt:lpstr>Crop4</vt:lpstr>
      <vt:lpstr>Crops</vt:lpstr>
      <vt:lpstr>'Data input'!Print_Area</vt:lpstr>
      <vt:lpstr>'Data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rjeckard</dc:creator>
  <cp:lastModifiedBy>Richard Eckard</cp:lastModifiedBy>
  <cp:lastPrinted>2009-02-10T07:58:23Z</cp:lastPrinted>
  <dcterms:created xsi:type="dcterms:W3CDTF">2000-08-30T08:41:32Z</dcterms:created>
  <dcterms:modified xsi:type="dcterms:W3CDTF">2016-07-18T05:03:13Z</dcterms:modified>
</cp:coreProperties>
</file>