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555" windowWidth="15600" windowHeight="8670" activeTab="1"/>
  </bookViews>
  <sheets>
    <sheet name="Intro" sheetId="1" r:id="rId1"/>
    <sheet name="Data summary" sheetId="2" r:id="rId2"/>
    <sheet name="Data input" sheetId="3" r:id="rId3"/>
    <sheet name="Enteric fermentation" sheetId="4" r:id="rId4"/>
    <sheet name="Manure management" sheetId="5" r:id="rId5"/>
    <sheet name="Nitrous Oxide_MMS" sheetId="6" r:id="rId6"/>
    <sheet name="Agricultural soils" sheetId="7" r:id="rId7"/>
    <sheet name="Trees" sheetId="8" r:id="rId8"/>
    <sheet name="Electicity &amp; Diesel" sheetId="9" r:id="rId9"/>
  </sheets>
  <definedNames>
    <definedName name="_xlnm.Print_Area" localSheetId="2">'Data input'!$B$1:$I$51</definedName>
    <definedName name="_xlnm.Print_Area" localSheetId="1">'Data summary'!$B$2:$N$31</definedName>
  </definedNames>
  <calcPr fullCalcOnLoad="1"/>
</workbook>
</file>

<file path=xl/comments3.xml><?xml version="1.0" encoding="utf-8"?>
<comments xmlns="http://schemas.openxmlformats.org/spreadsheetml/2006/main">
  <authors>
    <author>Seyda Ozkan</author>
    <author>Dr Richard J Eckard</author>
    <author>Richard Eckard</author>
  </authors>
  <commentList>
    <comment ref="H1" authorId="0">
      <text>
        <r>
          <rPr>
            <sz val="8"/>
            <color indexed="8"/>
            <rFont val="Tahoma"/>
            <family val="2"/>
          </rPr>
          <t>Type the name of your farm here</t>
        </r>
      </text>
    </comment>
    <comment ref="B4" authorId="1">
      <text>
        <r>
          <rPr>
            <sz val="8"/>
            <color indexed="8"/>
            <rFont val="Tahoma"/>
            <family val="2"/>
          </rPr>
          <t>Insert the number of animals in each category.</t>
        </r>
      </text>
    </comment>
    <comment ref="M7" authorId="2">
      <text>
        <r>
          <rPr>
            <sz val="9"/>
            <color indexed="8"/>
            <rFont val="Tahoma"/>
            <family val="2"/>
          </rPr>
          <t>In the current methodology, it is considered that leaching occurs where Et/P &lt; 0.8 or Et/P &gt; 1 (See the map below). Regions outside these areas (orange zone) are considered to be 'dryland' and not subject to leaching.</t>
        </r>
      </text>
    </comment>
    <comment ref="B10" authorId="1">
      <text>
        <r>
          <rPr>
            <sz val="8"/>
            <color indexed="8"/>
            <rFont val="Tahoma"/>
            <family val="2"/>
          </rPr>
          <t>Specify the average liveweight of your herd for each category (in kg liveweight)</t>
        </r>
      </text>
    </comment>
    <comment ref="B16" authorId="1">
      <text>
        <r>
          <rPr>
            <sz val="8"/>
            <color indexed="8"/>
            <rFont val="Tahoma"/>
            <family val="2"/>
          </rPr>
          <t>Insert the likely average daily liveweight gain (kg/day) for each class of animal in the herd.</t>
        </r>
      </text>
    </comment>
    <comment ref="B22" authorId="0">
      <text>
        <r>
          <rPr>
            <sz val="8"/>
            <color indexed="8"/>
            <rFont val="Tahoma"/>
            <family val="2"/>
          </rPr>
          <t>Insert the estimated dry matter available</t>
        </r>
      </text>
    </comment>
    <comment ref="B28" authorId="0">
      <text>
        <r>
          <rPr>
            <sz val="8"/>
            <color indexed="8"/>
            <rFont val="Tahoma"/>
            <family val="2"/>
          </rPr>
          <t>Insert the lambing rates for each season.</t>
        </r>
        <r>
          <rPr>
            <sz val="8"/>
            <color indexed="8"/>
            <rFont val="Tahoma"/>
            <family val="2"/>
          </rPr>
          <t xml:space="preserve">
Note must add to 1.0</t>
        </r>
      </text>
    </comment>
    <comment ref="L28" authorId="0">
      <text>
        <r>
          <rPr>
            <sz val="8"/>
            <color indexed="8"/>
            <rFont val="Tahoma"/>
            <family val="2"/>
          </rPr>
          <t>For example, if you are in Gippsland, it is most likely from Victorian Brown Coal. If you deliberately buy power from renewable sources or Green Power, then select the bottom option.</t>
        </r>
        <r>
          <rPr>
            <sz val="8"/>
            <color indexed="8"/>
            <rFont val="Tahoma"/>
            <family val="2"/>
          </rPr>
          <t xml:space="preserve">
While electricity consumption is not a greenhouse emission at a farm level, it is important to include this to allow you to investigate the impact of increased power use such as for comparing spray irrigation against flood irrigation.</t>
        </r>
      </text>
    </comment>
    <comment ref="L31" authorId="0">
      <text>
        <r>
          <rPr>
            <sz val="8"/>
            <color indexed="8"/>
            <rFont val="Tahoma"/>
            <family val="2"/>
          </rPr>
          <t xml:space="preserve"> If they are not listed then choose the closest species, or just the general heading.</t>
        </r>
      </text>
    </comment>
    <comment ref="B34" authorId="0">
      <text>
        <r>
          <rPr>
            <sz val="8"/>
            <color indexed="8"/>
            <rFont val="Tahoma"/>
            <family val="2"/>
          </rPr>
          <t>Insert the lambing rates in each season</t>
        </r>
      </text>
    </comment>
    <comment ref="L34" authorId="0">
      <text>
        <r>
          <rPr>
            <sz val="8"/>
            <color indexed="8"/>
            <rFont val="Tahoma"/>
            <family val="2"/>
          </rPr>
          <t>Rainfall is just a general guide for the rate of tree growth.</t>
        </r>
      </text>
    </comment>
    <comment ref="B40" authorId="0">
      <text>
        <r>
          <rPr>
            <sz val="8"/>
            <color indexed="8"/>
            <rFont val="Tahoma"/>
            <family val="2"/>
          </rPr>
          <t>Enter the CP in the feed eaten, not on offer</t>
        </r>
      </text>
    </comment>
    <comment ref="B46" authorId="2">
      <text>
        <r>
          <rPr>
            <sz val="8"/>
            <color indexed="8"/>
            <rFont val="Tahoma"/>
            <family val="2"/>
          </rPr>
          <t>Enter the DMD in the feed eaten, not on offer</t>
        </r>
      </text>
    </comment>
    <comment ref="B57" authorId="0">
      <text>
        <r>
          <rPr>
            <sz val="8"/>
            <color indexed="8"/>
            <rFont val="Tahoma"/>
            <family val="2"/>
          </rPr>
          <t>Total area of pastures on the farm, that is not natural rangeland (ha)</t>
        </r>
      </text>
    </comment>
    <comment ref="B56" authorId="0">
      <text>
        <r>
          <rPr>
            <sz val="8"/>
            <color indexed="8"/>
            <rFont val="Tahoma"/>
            <family val="2"/>
          </rPr>
          <t>The total area of land cultivated for cropping (ha).</t>
        </r>
      </text>
    </comment>
    <comment ref="B59" authorId="0">
      <text>
        <r>
          <rPr>
            <sz val="8"/>
            <color indexed="8"/>
            <rFont val="Tahoma"/>
            <family val="2"/>
          </rPr>
          <t>Total amount of Nitrogen fertiliser applied on crops (in kg N) - remember that urea is 46%N and DAP is 18% N etc. i.e. 10 tonnes of urea = 10000*46/100 kg N/ha</t>
        </r>
      </text>
    </comment>
    <comment ref="B71" authorId="1">
      <text>
        <r>
          <rPr>
            <sz val="8"/>
            <color indexed="8"/>
            <rFont val="Tahoma"/>
            <family val="2"/>
          </rPr>
          <t>How any litres of diesel did the farm use last year?</t>
        </r>
      </text>
    </comment>
    <comment ref="B72" authorId="1">
      <text>
        <r>
          <rPr>
            <sz val="8"/>
            <color indexed="8"/>
            <rFont val="Tahoma"/>
            <family val="2"/>
          </rPr>
          <t>What was your total annual electricity bill for the year in KWh?</t>
        </r>
      </text>
    </comment>
    <comment ref="B73" authorId="1">
      <text>
        <r>
          <rPr>
            <sz val="8"/>
            <color indexed="8"/>
            <rFont val="Tahoma"/>
            <family val="2"/>
          </rPr>
          <t>This allows for the evaluation of the carbon sequestration impact if planting trees on the farm. If you don't want this comparison, then set the area to zero.</t>
        </r>
      </text>
    </comment>
    <comment ref="B75" authorId="1">
      <text>
        <r>
          <rPr>
            <sz val="8"/>
            <color indexed="8"/>
            <rFont val="Tahoma"/>
            <family val="2"/>
          </rPr>
          <t xml:space="preserve">Insert the carbon content of the wool produced. </t>
        </r>
        <r>
          <rPr>
            <sz val="8"/>
            <color indexed="8"/>
            <rFont val="Tahoma"/>
            <family val="2"/>
          </rPr>
          <t xml:space="preserve">
If you do not know, then use the default value of 45.2%</t>
        </r>
      </text>
    </comment>
    <comment ref="B78" authorId="1">
      <text>
        <r>
          <rPr>
            <sz val="8"/>
            <color indexed="8"/>
            <rFont val="Tahoma"/>
            <family val="2"/>
          </rPr>
          <t>Insert the total clean wool produce off the property in the year.</t>
        </r>
        <r>
          <rPr>
            <sz val="8"/>
            <color indexed="8"/>
            <rFont val="Tahoma"/>
            <family val="2"/>
          </rPr>
          <t xml:space="preserve">
The spreadsheet can calculate this automatically, but your own figures may be better</t>
        </r>
        <r>
          <rPr>
            <sz val="8"/>
            <color indexed="8"/>
            <rFont val="Tahoma"/>
            <family val="2"/>
          </rPr>
          <t xml:space="preserve">
</t>
        </r>
        <r>
          <rPr>
            <b/>
            <sz val="8"/>
            <color indexed="8"/>
            <rFont val="Tahoma"/>
            <family val="2"/>
          </rPr>
          <t>Note:</t>
        </r>
        <r>
          <rPr>
            <sz val="8"/>
            <color indexed="8"/>
            <rFont val="Tahoma"/>
            <family val="2"/>
          </rPr>
          <t xml:space="preserve"> At this stage the carbon stored in wool is not credited back to the farmer, but this calculator raises the argument that this should be recognised, as "how often do you burn your jumper?" i.e. carbon stored in wool products remains out of the environment for as long, or probably longer, than most wood products..</t>
        </r>
      </text>
    </comment>
    <comment ref="B65" authorId="0">
      <text>
        <r>
          <rPr>
            <sz val="8"/>
            <rFont val="Tahoma"/>
            <family val="2"/>
          </rPr>
          <t>Total amount of Nitrogen fertiliser applied on pastures (in kg N) - remember that urea is 46%N and DAP is 18% N etc. i.e. 10 tonnes of urea = 10000*46/100 kg N/ha</t>
        </r>
      </text>
    </comment>
  </commentList>
</comments>
</file>

<file path=xl/comments4.xml><?xml version="1.0" encoding="utf-8"?>
<comments xmlns="http://schemas.openxmlformats.org/spreadsheetml/2006/main">
  <authors>
    <author>Seyda Ozkan</author>
  </authors>
  <commentList>
    <comment ref="L12" authorId="0">
      <text>
        <r>
          <rPr>
            <sz val="8"/>
            <color indexed="8"/>
            <rFont val="Tahoma"/>
            <family val="2"/>
          </rPr>
          <t>Actual feed intake of animals is often less than the potential intake due especially to low feed availability. Relative intake is the proportion of potential intake that the animal will consume.</t>
        </r>
      </text>
    </comment>
    <comment ref="B15" authorId="0">
      <text>
        <r>
          <rPr>
            <sz val="8"/>
            <color indexed="8"/>
            <rFont val="Tahoma"/>
            <family val="2"/>
          </rPr>
          <t>Metabolisability of the diet = 0.00795 x DMD - 0.0014 (DMD is expressed as a %).</t>
        </r>
      </text>
    </comment>
  </commentList>
</comments>
</file>

<file path=xl/comments5.xml><?xml version="1.0" encoding="utf-8"?>
<comments xmlns="http://schemas.openxmlformats.org/spreadsheetml/2006/main">
  <authors>
    <author>Seyda Ozkan</author>
  </authors>
  <commentList>
    <comment ref="B11" authorId="0">
      <text>
        <r>
          <rPr>
            <sz val="8"/>
            <color indexed="8"/>
            <rFont val="Tahoma"/>
            <family val="2"/>
          </rPr>
          <t>The warm factor is used for QLD and NT and the temperate (cool) factor is used for all other states.</t>
        </r>
      </text>
    </comment>
  </commentList>
</comments>
</file>

<file path=xl/comments6.xml><?xml version="1.0" encoding="utf-8"?>
<comments xmlns="http://schemas.openxmlformats.org/spreadsheetml/2006/main">
  <authors>
    <author>Seyda Ozkan</author>
  </authors>
  <commentList>
    <comment ref="B10" authorId="0">
      <text>
        <r>
          <rPr>
            <sz val="8"/>
            <color indexed="8"/>
            <rFont val="Tahoma"/>
            <family val="2"/>
          </rPr>
          <t>Milk intake is calculated as: proportion of lambs receiving milk in each season x milk intake. Milk intake is assumed to be 1.6 kg/day for the first three months after the birth of lambs.</t>
        </r>
      </text>
    </comment>
    <comment ref="B25" authorId="0">
      <text>
        <r>
          <rPr>
            <sz val="8"/>
            <color indexed="8"/>
            <rFont val="Tahoma"/>
            <family val="2"/>
          </rPr>
          <t>Milk production is calculated as: proportion of ewes lactating (LE) x milk production. Milk production is considered to be 1.6 kg/day for breeding ewes in the first three months after the birth of lambs.</t>
        </r>
      </text>
    </comment>
    <comment ref="B30" authorId="0">
      <text>
        <r>
          <rPr>
            <sz val="8"/>
            <color indexed="8"/>
            <rFont val="Tahoma"/>
            <family val="2"/>
          </rPr>
          <t>Clean wool production (WP) is based on ABS average greasy wool production per head multiplied by State average clean yield percentage. Wool production may be reduced by 50% for lactating ewes (SCA, 1990). Accordingly, wool production of ewes was apportioned  pro rata to give recorded annual average wool production. It is assumed that clean wool consists of 16% water and 84% protein.</t>
        </r>
      </text>
    </comment>
    <comment ref="B33" authorId="0">
      <text>
        <r>
          <rPr>
            <sz val="8"/>
            <color indexed="8"/>
            <rFont val="Tahoma"/>
            <family val="2"/>
          </rPr>
          <t>EBG is equivalent to LWG x 0.92</t>
        </r>
      </text>
    </comment>
    <comment ref="B38" authorId="0">
      <text>
        <r>
          <rPr>
            <sz val="8"/>
            <color indexed="8"/>
            <rFont val="Tahoma"/>
            <family val="2"/>
          </rPr>
          <t>Relative size: liveweight / standard reference weight</t>
        </r>
      </text>
    </comment>
  </commentList>
</comments>
</file>

<file path=xl/comments7.xml><?xml version="1.0" encoding="utf-8"?>
<comments xmlns="http://schemas.openxmlformats.org/spreadsheetml/2006/main">
  <authors>
    <author>Seyda Ozkan</author>
  </authors>
  <commentList>
    <comment ref="B15" authorId="0">
      <text>
        <r>
          <rPr>
            <sz val="8"/>
            <color indexed="8"/>
            <rFont val="Tahoma"/>
            <family val="2"/>
          </rPr>
          <t>The total area of land cultivated for cropping (ha).</t>
        </r>
      </text>
    </comment>
    <comment ref="B16" authorId="0">
      <text>
        <r>
          <rPr>
            <sz val="8"/>
            <color indexed="8"/>
            <rFont val="Tahoma"/>
            <family val="2"/>
          </rPr>
          <t>Total area of pastures on the farm, that is not natural rangeland (ha)</t>
        </r>
      </text>
    </comment>
    <comment ref="K23" authorId="0">
      <text>
        <r>
          <rPr>
            <sz val="8"/>
            <color indexed="8"/>
            <rFont val="Tahoma"/>
            <family val="2"/>
          </rPr>
          <t>Considered 1 here</t>
        </r>
      </text>
    </comment>
    <comment ref="K55" authorId="0">
      <text>
        <r>
          <rPr>
            <sz val="8"/>
            <color indexed="8"/>
            <rFont val="Tahoma"/>
            <family val="2"/>
          </rPr>
          <t>Does not apply to sheep</t>
        </r>
      </text>
    </comment>
    <comment ref="D134" authorId="0">
      <text>
        <r>
          <rPr>
            <sz val="8"/>
            <color indexed="8"/>
            <rFont val="Tahoma"/>
            <family val="2"/>
          </rPr>
          <t>MMS = 100% voided at pasture</t>
        </r>
      </text>
    </comment>
    <comment ref="H135" authorId="0">
      <text>
        <r>
          <rPr>
            <sz val="8"/>
            <color indexed="8"/>
            <rFont val="Tahoma"/>
            <family val="2"/>
          </rPr>
          <t>considered in 'other' animal system for pasture range and paddock</t>
        </r>
      </text>
    </comment>
    <comment ref="K173" authorId="0">
      <text>
        <r>
          <rPr>
            <sz val="8"/>
            <color indexed="8"/>
            <rFont val="Tahoma"/>
            <family val="2"/>
          </rPr>
          <t>For further information, please refer to the comment in data input page where Et/P ratio is questioned.</t>
        </r>
      </text>
    </comment>
  </commentList>
</comments>
</file>

<file path=xl/comments9.xml><?xml version="1.0" encoding="utf-8"?>
<comments xmlns="http://schemas.openxmlformats.org/spreadsheetml/2006/main">
  <authors>
    <author>Seyda Ozkan</author>
    <author>Dr Richard J Eckard</author>
  </authors>
  <commentList>
    <comment ref="H21" authorId="0">
      <text>
        <r>
          <rPr>
            <sz val="8"/>
            <color indexed="8"/>
            <rFont val="Tahoma"/>
            <family val="2"/>
          </rPr>
          <t>0.085 Gg SO2/PJ</t>
        </r>
      </text>
    </comment>
    <comment ref="B38" authorId="1">
      <text>
        <r>
          <rPr>
            <sz val="8"/>
            <color indexed="8"/>
            <rFont val="Tahoma"/>
            <family val="2"/>
          </rPr>
          <t>SO2 Emission factor = 0.37 Gg SO2/PJ</t>
        </r>
      </text>
    </comment>
    <comment ref="C38" authorId="1">
      <text>
        <r>
          <rPr>
            <sz val="8"/>
            <color indexed="8"/>
            <rFont val="Tahoma"/>
            <family val="2"/>
          </rPr>
          <t>30% would be average</t>
        </r>
      </text>
    </comment>
    <comment ref="D38" authorId="1">
      <text>
        <r>
          <rPr>
            <sz val="8"/>
            <color indexed="8"/>
            <rFont val="Tahoma"/>
            <family val="2"/>
          </rPr>
          <t>1000 average</t>
        </r>
      </text>
    </comment>
    <comment ref="B39" authorId="1">
      <text>
        <r>
          <rPr>
            <sz val="8"/>
            <color indexed="8"/>
            <rFont val="Tahoma"/>
            <family val="2"/>
          </rPr>
          <t>SO2 Emission factor = 0.15 Gg SO2/PJ</t>
        </r>
      </text>
    </comment>
    <comment ref="C39" authorId="1">
      <text>
        <r>
          <rPr>
            <sz val="8"/>
            <color indexed="8"/>
            <rFont val="Tahoma"/>
            <family val="2"/>
          </rPr>
          <t>25% average</t>
        </r>
      </text>
    </comment>
    <comment ref="D39" authorId="1">
      <text>
        <r>
          <rPr>
            <sz val="8"/>
            <color indexed="8"/>
            <rFont val="Tahoma"/>
            <family val="2"/>
          </rPr>
          <t>1400 average</t>
        </r>
      </text>
    </comment>
  </commentList>
</comments>
</file>

<file path=xl/sharedStrings.xml><?xml version="1.0" encoding="utf-8"?>
<sst xmlns="http://schemas.openxmlformats.org/spreadsheetml/2006/main" count="979" uniqueCount="435">
  <si>
    <t>This tool may be of assistance to you, but the University of Melbourne and the State of Victoria and its employees do not guarantee that the tool or information contained therein is without flaw of any kind, or is wholly appropriate for your particular purposes and therefore disclaims all liability for any error, loss or other consequence which may arise from reliance on any information contained herein.
Please Note:
a) These methods are continually changing, so we take no responsibility for the currency of the tool, and
b) Professional advice should be sought on the interpretation of the results.</t>
  </si>
  <si>
    <t>Introduction</t>
  </si>
  <si>
    <t>The objective of this tool is to create awareness of the various sources of greenhouse gas emissions on sheep farms, to stimulate thinking and action aimed at reducing these emissions while further improving farming efficiency.</t>
  </si>
  <si>
    <t xml:space="preserve">By entering in some simple data, which most sheep farmers are likely to know, the model presents the user with a greenhouse gas emission profile for their farm. The model also then breaks down these greenhouse gas emissions into the various sources, and where they are coming from on the farm. The user can then conduct some "What if" scenarios, to explore the greenhouse gas impact of changes to farm management. </t>
  </si>
  <si>
    <t>The model is based on the Australian National Greenhouse Gas Inventory method, as published on the Australian Government Department of Climate Change and Energy Efficiency in April 2012. For more information, click on the link below:</t>
  </si>
  <si>
    <t>http://www.climatechange.gov.au/en/publications/greenhouse-acctg/~/media/publications/greenhouse-acctg/NationalInventoryReport-2010-Vol-1.pdf</t>
  </si>
  <si>
    <t>The three main greenhouse gasses (GHG) emitted at a sheep farm scale and contribute to global warming are:</t>
  </si>
  <si>
    <r>
      <t xml:space="preserve">     - Methane (CH</t>
    </r>
    <r>
      <rPr>
        <u val="single"/>
        <vertAlign val="subscript"/>
        <sz val="14"/>
        <color indexed="12"/>
        <rFont val="Times New Roman"/>
        <family val="1"/>
      </rPr>
      <t>4</t>
    </r>
    <r>
      <rPr>
        <u val="single"/>
        <sz val="14"/>
        <color indexed="12"/>
        <rFont val="Times New Roman"/>
        <family val="1"/>
      </rPr>
      <t>)</t>
    </r>
  </si>
  <si>
    <r>
      <t xml:space="preserve">     - Nitrous oxide (N</t>
    </r>
    <r>
      <rPr>
        <u val="single"/>
        <vertAlign val="subscript"/>
        <sz val="14"/>
        <color indexed="12"/>
        <rFont val="Times New Roman"/>
        <family val="1"/>
      </rPr>
      <t>2</t>
    </r>
    <r>
      <rPr>
        <u val="single"/>
        <sz val="14"/>
        <color indexed="12"/>
        <rFont val="Times New Roman"/>
        <family val="1"/>
      </rPr>
      <t>O)</t>
    </r>
  </si>
  <si>
    <r>
      <t xml:space="preserve">     - Carbon dioxide (CO</t>
    </r>
    <r>
      <rPr>
        <u val="single"/>
        <vertAlign val="subscript"/>
        <sz val="14"/>
        <color indexed="12"/>
        <rFont val="Times New Roman"/>
        <family val="1"/>
      </rPr>
      <t>2</t>
    </r>
    <r>
      <rPr>
        <u val="single"/>
        <sz val="14"/>
        <color indexed="12"/>
        <rFont val="Times New Roman"/>
        <family val="1"/>
      </rPr>
      <t>)</t>
    </r>
  </si>
  <si>
    <r>
      <t>Methane (CH</t>
    </r>
    <r>
      <rPr>
        <b/>
        <vertAlign val="subscript"/>
        <sz val="14"/>
        <color indexed="8"/>
        <rFont val="Times New Roman"/>
        <family val="1"/>
      </rPr>
      <t>4</t>
    </r>
    <r>
      <rPr>
        <b/>
        <sz val="14"/>
        <color indexed="8"/>
        <rFont val="Times New Roman"/>
        <family val="1"/>
      </rPr>
      <t>)</t>
    </r>
  </si>
  <si>
    <t xml:space="preserve">Methane is the major GHG produced at sheep farms and is primarily sourced from:
1. Enteric fermentation and
2. Manure management.  
</t>
  </si>
  <si>
    <t xml:space="preserve">Methane emissions from livestock systems are considered as energy loss in the system. This means that if they are not released from the animal body, they can be re-gained in animal products such as milk and meat, leading to improved productivity. The main factors affecting methane production are feed type and quality, level of feed intake, and type, sex and  age of the animal. Enteric methane production is minimised by feeding high quality forages (perennial ryegrass/white clover pasture), particularly where the protein to energy ratio in the ration has been balanced through supplementary feeding strategies. Any mitigation strategy, however, according to the current policy requirements (Carbon Farming Initiative, CFI 2010), must lead to reduced emissions beyond what is common practice in a sector. For other policy requirements and more information, visit Australian Government Department of Climate Change and Energy Efficiency website or refer to CFI consultation paper.                                                                                                                                                                                                                                                                                                            
</t>
  </si>
  <si>
    <r>
      <t xml:space="preserve">Strategies to reduce enteric methane production include:
</t>
    </r>
    <r>
      <rPr>
        <b/>
        <sz val="14"/>
        <color indexed="8"/>
        <rFont val="Times New Roman"/>
        <family val="1"/>
      </rPr>
      <t xml:space="preserve">1. Animal manipulation : </t>
    </r>
    <r>
      <rPr>
        <sz val="14"/>
        <color indexed="8"/>
        <rFont val="Times New Roman"/>
        <family val="1"/>
      </rPr>
      <t xml:space="preserve">Breeding animals with greater feed-conversion efficiency may reduce CH4 emissions from cows.
</t>
    </r>
  </si>
  <si>
    <r>
      <rPr>
        <b/>
        <sz val="14"/>
        <color indexed="8"/>
        <rFont val="Times New Roman"/>
        <family val="1"/>
      </rPr>
      <t xml:space="preserve">2. Diet manipulation : </t>
    </r>
    <r>
      <rPr>
        <sz val="14"/>
        <color indexed="8"/>
        <rFont val="Times New Roman"/>
        <family val="1"/>
      </rPr>
      <t>Higher amount of forage to concentrate ratio determines a higher amount of acetate to propionate ratio and therefore higher CH4 productions. Dietary fats are used to reduce CH4 emissions. Addition of fat is limited to 6-7% of the dietary dry matter (DM) in order not to cause reductions in DM intake (DMI). Note that it is not widely acknowledged whether the reductions via fat supplementation are permanent over the whole production period</t>
    </r>
  </si>
  <si>
    <r>
      <rPr>
        <b/>
        <sz val="14"/>
        <color indexed="8"/>
        <rFont val="Times New Roman"/>
        <family val="1"/>
      </rPr>
      <t xml:space="preserve">3. Rumen manipulation : </t>
    </r>
    <r>
      <rPr>
        <sz val="14"/>
        <color indexed="8"/>
        <rFont val="Times New Roman"/>
        <family val="1"/>
      </rPr>
      <t>This may include vaccination against methanogens, or bacteriophages or bacteriocins as biological control strategies, or monensin as antibiotic. The use of probiotics, Archaeal viruses, reductive acetogens, methane oxidisers and propionate enhancers are new promising strategies to reduce CH4 emissions from dairy cows. However, their in-vivo assessment requires further research.</t>
    </r>
  </si>
  <si>
    <r>
      <t>Nitrous oxide (N</t>
    </r>
    <r>
      <rPr>
        <b/>
        <vertAlign val="subscript"/>
        <sz val="14"/>
        <color indexed="8"/>
        <rFont val="Times New Roman"/>
        <family val="1"/>
      </rPr>
      <t>2</t>
    </r>
    <r>
      <rPr>
        <b/>
        <sz val="14"/>
        <color indexed="8"/>
        <rFont val="Times New Roman"/>
        <family val="1"/>
      </rPr>
      <t>O)</t>
    </r>
  </si>
  <si>
    <r>
      <t xml:space="preserve"> N</t>
    </r>
    <r>
      <rPr>
        <vertAlign val="subscript"/>
        <sz val="14"/>
        <color indexed="8"/>
        <rFont val="Times New Roman"/>
        <family val="1"/>
      </rPr>
      <t>2</t>
    </r>
    <r>
      <rPr>
        <sz val="14"/>
        <color indexed="8"/>
        <rFont val="Times New Roman"/>
        <family val="1"/>
      </rPr>
      <t xml:space="preserve">O emissions in sheep farms are sourced primarily from: </t>
    </r>
  </si>
  <si>
    <t xml:space="preserve">     - Direct emissions from N fertiliser application (both synthetic and organic), and animal waste deposition (faeces and urine), and</t>
  </si>
  <si>
    <t xml:space="preserve">     - Indirect emissions from ammonia volatilisation and nitrate leaching &amp; runoff</t>
  </si>
  <si>
    <t>The total N2O emissions on sheep farms are directly related to fertiliser and manure application rates. When intensive N fertilisers are applied but not utilised by plant growth, the proportion of N that is not utilised is lost to the environment through volatilisation, leaching and/or denitrification, producing various forms of N such as NH3, NO3 and N2O. Under grazing conditions, the major source of NH3 volatilisation is assumed to derive from urine. Denitrification rate, and thus N2O emissions, are maximised in warm and waterlogged soils, with liberal soil nitrate present. In the current calculator, all dairy farmers are assumed to receive enough water to leach (through either irrigation or farming in high rainfall areas).</t>
  </si>
  <si>
    <t>Farmers should consider strategic fertiliser management practices in order to reduce or maintain their total N2O emissions. It is important to remember that responses to N fertiliser will vary according to season and the fertiliser application rate. N fertiliser should only be applied when the pasture is actively growing and can utilise the N. A moderate level of N fertiliser application is recommended to be around 50 kg N/ha in any single application. The optimum time to apply N fertiliser is usually the period from grazing up to a maximum two weeks after grazing. Some of the factors that limit the pasture growth rate and sward quality and therefore reduce the responses to N fertiliser are soil type, low soil fertility, cold and excessively wet or dry weather conditions.</t>
  </si>
  <si>
    <r>
      <t>Carbon dioxide (CO</t>
    </r>
    <r>
      <rPr>
        <b/>
        <vertAlign val="subscript"/>
        <sz val="14"/>
        <color indexed="8"/>
        <rFont val="Times New Roman"/>
        <family val="1"/>
      </rPr>
      <t>2</t>
    </r>
    <r>
      <rPr>
        <b/>
        <sz val="14"/>
        <color indexed="8"/>
        <rFont val="Times New Roman"/>
        <family val="1"/>
      </rPr>
      <t>)</t>
    </r>
  </si>
  <si>
    <r>
      <t>Direct CO</t>
    </r>
    <r>
      <rPr>
        <vertAlign val="subscript"/>
        <sz val="14"/>
        <color indexed="8"/>
        <rFont val="Times New Roman"/>
        <family val="1"/>
      </rPr>
      <t>2</t>
    </r>
    <r>
      <rPr>
        <sz val="14"/>
        <color indexed="8"/>
        <rFont val="Times New Roman"/>
        <family val="1"/>
      </rPr>
      <t xml:space="preserve"> emissions from sheep farms are mainly sourced from diesel and electricity consumption.</t>
    </r>
  </si>
  <si>
    <t>Planting trees and carbon sequestration</t>
  </si>
  <si>
    <t xml:space="preserve">To allow users to explore the value of planting trees, an option is included in the model to choose the type of trees and the rainfall zone, with the total carbon removed by trees being subtracted off the farm greenhouse gas emission total. Remember, this is a guide only, as actual tree growth depends on the local growing conditions and the carbon sequestered varies with the age of the plantation. </t>
  </si>
  <si>
    <t>Sheep Greenhouse Accounting Tool</t>
  </si>
  <si>
    <t>Farm Name</t>
  </si>
  <si>
    <t>Outputs</t>
  </si>
  <si>
    <t>t CO2e/farm</t>
  </si>
  <si>
    <t>Summary</t>
  </si>
  <si>
    <t>Flock information</t>
  </si>
  <si>
    <t>Rams</t>
  </si>
  <si>
    <t>Wethers</t>
  </si>
  <si>
    <t>Maiden breeding ewes</t>
  </si>
  <si>
    <t>Breeding ewes</t>
  </si>
  <si>
    <t>Other ewes</t>
  </si>
  <si>
    <t>Lambs and hoggets</t>
  </si>
  <si>
    <t>Units</t>
  </si>
  <si>
    <r>
      <t>CO</t>
    </r>
    <r>
      <rPr>
        <vertAlign val="subscript"/>
        <sz val="11"/>
        <color indexed="8"/>
        <rFont val="Times New Roman"/>
        <family val="1"/>
      </rPr>
      <t>2</t>
    </r>
    <r>
      <rPr>
        <sz val="11"/>
        <color indexed="8"/>
        <rFont val="Times New Roman"/>
        <family val="1"/>
      </rPr>
      <t xml:space="preserve"> -Energy</t>
    </r>
  </si>
  <si>
    <r>
      <t>CO</t>
    </r>
    <r>
      <rPr>
        <vertAlign val="subscript"/>
        <sz val="11"/>
        <color indexed="8"/>
        <rFont val="Times New Roman"/>
        <family val="1"/>
      </rPr>
      <t>2</t>
    </r>
  </si>
  <si>
    <t>Livestock Numbers</t>
  </si>
  <si>
    <r>
      <t>CH</t>
    </r>
    <r>
      <rPr>
        <vertAlign val="subscript"/>
        <sz val="11"/>
        <color indexed="8"/>
        <rFont val="Times New Roman"/>
        <family val="1"/>
      </rPr>
      <t>4</t>
    </r>
    <r>
      <rPr>
        <sz val="11"/>
        <color indexed="8"/>
        <rFont val="Times New Roman"/>
        <family val="1"/>
      </rPr>
      <t xml:space="preserve"> - Enteric</t>
    </r>
  </si>
  <si>
    <r>
      <t>CH</t>
    </r>
    <r>
      <rPr>
        <vertAlign val="subscript"/>
        <sz val="11"/>
        <color indexed="8"/>
        <rFont val="Times New Roman"/>
        <family val="1"/>
      </rPr>
      <t>4</t>
    </r>
  </si>
  <si>
    <t>Liveweight</t>
  </si>
  <si>
    <r>
      <t>CH</t>
    </r>
    <r>
      <rPr>
        <vertAlign val="subscript"/>
        <sz val="11"/>
        <color indexed="8"/>
        <rFont val="Times New Roman"/>
        <family val="1"/>
      </rPr>
      <t>4</t>
    </r>
    <r>
      <rPr>
        <sz val="11"/>
        <color indexed="8"/>
        <rFont val="Times New Roman"/>
        <family val="1"/>
      </rPr>
      <t xml:space="preserve"> - Manure</t>
    </r>
  </si>
  <si>
    <r>
      <t>N</t>
    </r>
    <r>
      <rPr>
        <vertAlign val="subscript"/>
        <sz val="11"/>
        <color indexed="8"/>
        <rFont val="Times New Roman"/>
        <family val="1"/>
      </rPr>
      <t>2</t>
    </r>
    <r>
      <rPr>
        <sz val="11"/>
        <color indexed="8"/>
        <rFont val="Times New Roman"/>
        <family val="1"/>
      </rPr>
      <t>O</t>
    </r>
  </si>
  <si>
    <t>Live weight gain</t>
  </si>
  <si>
    <r>
      <t>N</t>
    </r>
    <r>
      <rPr>
        <vertAlign val="subscript"/>
        <sz val="11"/>
        <color indexed="8"/>
        <rFont val="Times New Roman"/>
        <family val="1"/>
      </rPr>
      <t>2</t>
    </r>
    <r>
      <rPr>
        <sz val="11"/>
        <color indexed="8"/>
        <rFont val="Times New Roman"/>
        <family val="1"/>
      </rPr>
      <t>O - N Fertiliser</t>
    </r>
  </si>
  <si>
    <t>Dry Matter Availability</t>
  </si>
  <si>
    <r>
      <t>N</t>
    </r>
    <r>
      <rPr>
        <vertAlign val="subscript"/>
        <sz val="11"/>
        <color indexed="8"/>
        <rFont val="Times New Roman"/>
        <family val="1"/>
      </rPr>
      <t>2</t>
    </r>
    <r>
      <rPr>
        <sz val="11"/>
        <color indexed="8"/>
        <rFont val="Times New Roman"/>
        <family val="1"/>
      </rPr>
      <t>O - Indirect</t>
    </r>
  </si>
  <si>
    <t>Proportion of ewes lambing</t>
  </si>
  <si>
    <r>
      <t>N</t>
    </r>
    <r>
      <rPr>
        <vertAlign val="subscript"/>
        <sz val="11"/>
        <color indexed="8"/>
        <rFont val="Times New Roman"/>
        <family val="1"/>
      </rPr>
      <t>2</t>
    </r>
    <r>
      <rPr>
        <sz val="11"/>
        <color indexed="8"/>
        <rFont val="Times New Roman"/>
        <family val="1"/>
      </rPr>
      <t>O - Dung, Urine</t>
    </r>
  </si>
  <si>
    <t>Crude Protein</t>
  </si>
  <si>
    <t>Tree plantings (after 1990)</t>
  </si>
  <si>
    <t>Net Farm Emissions</t>
  </si>
  <si>
    <t>Carbon stored in Wool</t>
  </si>
  <si>
    <t>Area Improved Pasture</t>
  </si>
  <si>
    <t>ha</t>
  </si>
  <si>
    <t>Net Farm Emissions incl wool</t>
  </si>
  <si>
    <t>Area cropped</t>
  </si>
  <si>
    <t>Nitrogen Fertiliser Pastures</t>
  </si>
  <si>
    <t>Nitrogen Fertiliser Crops</t>
  </si>
  <si>
    <t>Annual Diesel Consumption</t>
  </si>
  <si>
    <t>litres/year</t>
  </si>
  <si>
    <t>Annual Electricity Use</t>
  </si>
  <si>
    <t>KWh</t>
  </si>
  <si>
    <t>Power Source</t>
  </si>
  <si>
    <t>Area of Trees Planted after 1990</t>
  </si>
  <si>
    <t>Type of Trees planted</t>
  </si>
  <si>
    <t>Rainfall</t>
  </si>
  <si>
    <t>Carbon content of Wool</t>
  </si>
  <si>
    <t>%</t>
  </si>
  <si>
    <t>Clean Wool (t/year)</t>
  </si>
  <si>
    <t>Note: This is NOT counted!</t>
  </si>
  <si>
    <t>Enter your farm data for each animal class and season</t>
  </si>
  <si>
    <t>Joe Bloggs</t>
  </si>
  <si>
    <t>Chose your region in Australia</t>
  </si>
  <si>
    <t>Spring</t>
  </si>
  <si>
    <t>head</t>
  </si>
  <si>
    <t>Summer</t>
  </si>
  <si>
    <t>Autumn</t>
  </si>
  <si>
    <t>Is your property in orange zone below?</t>
  </si>
  <si>
    <t>Winter</t>
  </si>
  <si>
    <t>N</t>
  </si>
  <si>
    <t>Enter Y or N</t>
  </si>
  <si>
    <t>Average</t>
  </si>
  <si>
    <t>The ratio of mean annual evapotranspiration to annual precipitation (Et/P)</t>
  </si>
  <si>
    <t>kg/day</t>
  </si>
  <si>
    <t>t/ha</t>
  </si>
  <si>
    <t>Where does the farm draw its electricity from?</t>
  </si>
  <si>
    <t>Choose the type of trees planted</t>
  </si>
  <si>
    <t>Seasonal lambing rates</t>
  </si>
  <si>
    <t>Chose rainfall in your area</t>
  </si>
  <si>
    <t>Crude Protein (CP)</t>
  </si>
  <si>
    <t>Dry matter digestibility (DMD)</t>
  </si>
  <si>
    <t>MJ/kg DM</t>
  </si>
  <si>
    <t>Greasy Wool Prod</t>
  </si>
  <si>
    <t>kg/hd/year</t>
  </si>
  <si>
    <t>Clean wool yield</t>
  </si>
  <si>
    <t>Area improved pasture</t>
  </si>
  <si>
    <t>Nitrogen Fertiliser Pasture</t>
  </si>
  <si>
    <t>kg N/season</t>
  </si>
  <si>
    <t>Methane emissions from enteric fermentation</t>
  </si>
  <si>
    <t>Data Input</t>
  </si>
  <si>
    <t>Seasons</t>
  </si>
  <si>
    <t>Methane calculation</t>
  </si>
  <si>
    <t>Liveweight (W)</t>
  </si>
  <si>
    <t>Potential intake (PI)</t>
  </si>
  <si>
    <t>PI = (104.7 x q + 0.307 x W - 15.0) x W^0.75 / 1000</t>
  </si>
  <si>
    <t>4A.3_1</t>
  </si>
  <si>
    <t>q = metabolisability of the diet</t>
  </si>
  <si>
    <t>kg DM/head/day</t>
  </si>
  <si>
    <t>Relative intake (RI)</t>
  </si>
  <si>
    <t>RI = 1 - exp (-2 x (DMA)^2)</t>
  </si>
  <si>
    <t>4A.3_2</t>
  </si>
  <si>
    <t>DMA = dry matter availability</t>
  </si>
  <si>
    <t>Metabolisability of the diet (q)</t>
  </si>
  <si>
    <t>Actual intake (I)</t>
  </si>
  <si>
    <t>I = PI x RI x MA</t>
  </si>
  <si>
    <t>4A.3_3</t>
  </si>
  <si>
    <t>Dry matter availability</t>
  </si>
  <si>
    <t>MA = additional intake for milk production</t>
  </si>
  <si>
    <t>(proportion of lambs receiving milk)</t>
  </si>
  <si>
    <t>Additional intake for milk production (MA)</t>
  </si>
  <si>
    <t>MA = (LE x FA) + ((1 - LE) x 1)</t>
  </si>
  <si>
    <t>4A.3_4</t>
  </si>
  <si>
    <t>LE = proportion of breeding ewes lactating</t>
  </si>
  <si>
    <t xml:space="preserve">FA = feed adjustment </t>
  </si>
  <si>
    <t>Methane production (M)</t>
  </si>
  <si>
    <t>M = I x 0.0188 + 0.00158</t>
  </si>
  <si>
    <t>4A.3_5</t>
  </si>
  <si>
    <t>Proportion of breeding ewes lactating (LE)</t>
  </si>
  <si>
    <t>kg/head/day</t>
  </si>
  <si>
    <t>Livestock numbers</t>
  </si>
  <si>
    <t>Seasonal methane production (E)</t>
  </si>
  <si>
    <t>E = (91.25 x N x M) x 10^-6</t>
  </si>
  <si>
    <t>4A.3_6</t>
  </si>
  <si>
    <t>Gg CH4/farm/season</t>
  </si>
  <si>
    <t>Grand total</t>
  </si>
  <si>
    <t>Gg CH4/farm/year</t>
  </si>
  <si>
    <t>Gg CO2-e/farm/year</t>
  </si>
  <si>
    <t>t CO2-e/farm/year</t>
  </si>
  <si>
    <t>Methane emissions from manure in the field</t>
  </si>
  <si>
    <t>NSW/ACT</t>
  </si>
  <si>
    <t>NT</t>
  </si>
  <si>
    <t>QLD</t>
  </si>
  <si>
    <t>SA</t>
  </si>
  <si>
    <t>TAS</t>
  </si>
  <si>
    <t>VIC</t>
  </si>
  <si>
    <t>WA</t>
  </si>
  <si>
    <t>Methane emission factor (MEF)</t>
  </si>
  <si>
    <t>Warm</t>
  </si>
  <si>
    <t>Cool</t>
  </si>
  <si>
    <t>Livestock numbers (N)</t>
  </si>
  <si>
    <t>Methane production from manure</t>
  </si>
  <si>
    <t>M = I x (1 - DMD) x MEF</t>
  </si>
  <si>
    <t>4B.3_1</t>
  </si>
  <si>
    <t>kg CH4/head/day</t>
  </si>
  <si>
    <t>E = (N x M x 91.25) x 10^-6</t>
  </si>
  <si>
    <t>4B.3_2</t>
  </si>
  <si>
    <t>Nitrous oxide emissions from different manure management systems (MMS)</t>
  </si>
  <si>
    <t>Faecal nitrous oxide calculation</t>
  </si>
  <si>
    <t>Crude protein intake (CPI) of sheep</t>
  </si>
  <si>
    <t>CPI = I x CP + (0.045 x MC)</t>
  </si>
  <si>
    <t>4B.3_3</t>
  </si>
  <si>
    <t>CP = crude protein content of feed intake expressed as a fraction</t>
  </si>
  <si>
    <t>Milk intake (MC)</t>
  </si>
  <si>
    <t>Nitrogen excreted in faeces (F)</t>
  </si>
  <si>
    <t>F = {0.3 x (CPI x (1 - [(DMD + 10) / 100])) + 0.105 x (ME x I x 0.008) + 0.08 x (0.045 x MC) + 0.0152 x I} / 6.25</t>
  </si>
  <si>
    <t>4B.3_4</t>
  </si>
  <si>
    <t>Nitrogen retained in the body (NR)</t>
  </si>
  <si>
    <t>NR = {(0.045 x MP) + (WP x 0.84) + {[(212 - 4 x {[(EBG x 1000) / (4 x SRW^0.75)] -1}) - (140 - 4 x {[(EBG x 1000) / (4 x SRW^0.75)] - 1}) / {1 + exp (-6 x (Z - 0.4))}] x EBG} / 1000 / 6.25</t>
  </si>
  <si>
    <t>4B.3_5</t>
  </si>
  <si>
    <t>kg</t>
  </si>
  <si>
    <t>Appendix 6.D.7</t>
  </si>
  <si>
    <t>Metabolisable energy (ME)</t>
  </si>
  <si>
    <t>Standard reference weight (SRW)</t>
  </si>
  <si>
    <t xml:space="preserve">Milk production (MP) </t>
  </si>
  <si>
    <t>Selected</t>
  </si>
  <si>
    <t>Wool production (WP)</t>
  </si>
  <si>
    <t>Empty body gain (EBG)</t>
  </si>
  <si>
    <t>N excreted in urine (U)</t>
  </si>
  <si>
    <t>U = (CPI / 6.25) - NR - F</t>
  </si>
  <si>
    <t>4B.3_6</t>
  </si>
  <si>
    <t>Relative size (Z)</t>
  </si>
  <si>
    <t>Seasonal faecal N excreted (AF)</t>
  </si>
  <si>
    <t>AF = (N x F x 91.25) x 10^-6</t>
  </si>
  <si>
    <t>4B.3_7a</t>
  </si>
  <si>
    <t>Gg/farm/season</t>
  </si>
  <si>
    <t>Sesonal urinary N excreted (AU)</t>
  </si>
  <si>
    <t>AU = (N x U x 91.25) x 10^-6</t>
  </si>
  <si>
    <t>4B.3_7b</t>
  </si>
  <si>
    <t>Factor to convert elemental mass of N2O to molecular mass (Cg)</t>
  </si>
  <si>
    <t>Seasonal faecal and urinary N excreted (AE)</t>
  </si>
  <si>
    <t>AE = AF + AU</t>
  </si>
  <si>
    <t>Total emissions of N2O from different MMSs (E)</t>
  </si>
  <si>
    <t>E = AE x MMS x EF x Cg</t>
  </si>
  <si>
    <t>4B.3_10c</t>
  </si>
  <si>
    <t>MMS = 100% (in the case of sheep all manure is voided at pasture (MMS = 8)</t>
  </si>
  <si>
    <t>N2O-N kg/N excreted</t>
  </si>
  <si>
    <t>Table 6.12</t>
  </si>
  <si>
    <t>Gg N2O/farm/season</t>
  </si>
  <si>
    <t>Gg N2O/farm/year</t>
  </si>
  <si>
    <t>Nitrous Oxide production from agricultural soils</t>
  </si>
  <si>
    <t>Season</t>
  </si>
  <si>
    <t>Nitrogen fertiliser crops TM</t>
  </si>
  <si>
    <t>N Fertiliser Pastures TM</t>
  </si>
  <si>
    <t>N2O emissions from synthetic fertiliser</t>
  </si>
  <si>
    <t>Mass of fertiliser appplied (M)</t>
  </si>
  <si>
    <t>M = TM x FN</t>
  </si>
  <si>
    <t>4D1_1</t>
  </si>
  <si>
    <t>TM = total mass of fertiliser</t>
  </si>
  <si>
    <t>Gg N</t>
  </si>
  <si>
    <t>FN = fraction of N applied to production system</t>
  </si>
  <si>
    <t>Appendix 6.H</t>
  </si>
  <si>
    <t>N Fertiliser crops</t>
  </si>
  <si>
    <t>Gg N/season</t>
  </si>
  <si>
    <t>N Fertiliser Pastures</t>
  </si>
  <si>
    <t>Annual N2O emissions from the addition of synthetic fertiliser (E)</t>
  </si>
  <si>
    <t>E = (M x EF x Cg)</t>
  </si>
  <si>
    <t>EF = Emission factor</t>
  </si>
  <si>
    <t>Gg N2O-N/Gg N</t>
  </si>
  <si>
    <t>Table 6.22</t>
  </si>
  <si>
    <t>Production system</t>
  </si>
  <si>
    <t>Emission factor</t>
  </si>
  <si>
    <t>Gg N2O/season</t>
  </si>
  <si>
    <t>Irrigated pasture</t>
  </si>
  <si>
    <t>Irrigated crop</t>
  </si>
  <si>
    <t>Non-irrigated pasture</t>
  </si>
  <si>
    <t>Non-irrigated crop</t>
  </si>
  <si>
    <t>Total</t>
  </si>
  <si>
    <t>Gg N2O/year</t>
  </si>
  <si>
    <t>Sugar cane</t>
  </si>
  <si>
    <t>Cotton</t>
  </si>
  <si>
    <t>Horticulture</t>
  </si>
  <si>
    <t>Grand total from fertiliser application</t>
  </si>
  <si>
    <t>N2O emissions from animal waste (manure) applied to soils</t>
  </si>
  <si>
    <t>MN soil = ((AE x MMS) - (E / Cg) - MNatm</t>
  </si>
  <si>
    <t>4D1_3</t>
  </si>
  <si>
    <t>The nitrogen content of animal manure applied to agricultural soils</t>
  </si>
  <si>
    <t>MN soil</t>
  </si>
  <si>
    <t>N2O emissions from animal waste (manure)</t>
  </si>
  <si>
    <t>E = MN soil x EF x Cg</t>
  </si>
  <si>
    <t>4D1_4</t>
  </si>
  <si>
    <t>Biological nitrogen fixation</t>
  </si>
  <si>
    <t>M = P x R x DM x CC x NC</t>
  </si>
  <si>
    <t>4D1_5</t>
  </si>
  <si>
    <t>M = mass of N fixed by crops and pastures</t>
  </si>
  <si>
    <t>Not used currently</t>
  </si>
  <si>
    <t>P = annual production of crop</t>
  </si>
  <si>
    <t>Gg</t>
  </si>
  <si>
    <t>R = residue to crop ratio</t>
  </si>
  <si>
    <t>kg crop residue/kg crop</t>
  </si>
  <si>
    <t xml:space="preserve">DM = dry matter content </t>
  </si>
  <si>
    <t>kg dry weight/kg crop residue</t>
  </si>
  <si>
    <t>CC = mass fraction of carbon in crop residue</t>
  </si>
  <si>
    <t>NC = nitrogen to carbon ratio in crop residue</t>
  </si>
  <si>
    <t>Annual N2O production from N fixing crops</t>
  </si>
  <si>
    <t>E = M x EF x Cg</t>
  </si>
  <si>
    <t>Gg N2O</t>
  </si>
  <si>
    <t>4D1_6</t>
  </si>
  <si>
    <t>EF = 0.0125</t>
  </si>
  <si>
    <t>The application of crop residues</t>
  </si>
  <si>
    <t xml:space="preserve">The mass of N in crop residues returned to soils </t>
  </si>
  <si>
    <t>M = P x R x DM x CC x NC x (1- F - FFOD)</t>
  </si>
  <si>
    <t>4D1_7</t>
  </si>
  <si>
    <t>M = mass of N in crop residues</t>
  </si>
  <si>
    <t>F = fraction of the crop that is burnt</t>
  </si>
  <si>
    <t>FFOD = fraction of the crop that is removed</t>
  </si>
  <si>
    <t xml:space="preserve">Annual N2O production from crop residues </t>
  </si>
  <si>
    <t>4D1_8</t>
  </si>
  <si>
    <t>Annual N2O production from cultivation of histosols</t>
  </si>
  <si>
    <t>E = A x EF x Cg x 10^-6</t>
  </si>
  <si>
    <t>4D1_9</t>
  </si>
  <si>
    <t xml:space="preserve">A = area of cultivated histosols </t>
  </si>
  <si>
    <t>EF = 8</t>
  </si>
  <si>
    <t>kg N2O-N/ha</t>
  </si>
  <si>
    <t>Animal production</t>
  </si>
  <si>
    <t>The faecal and urinary nitrogen excreted on pasture and paddock</t>
  </si>
  <si>
    <t>4D2</t>
  </si>
  <si>
    <t>FN soil = AF x MMS</t>
  </si>
  <si>
    <t>4D2_1</t>
  </si>
  <si>
    <t>UN soil = AU x MMS</t>
  </si>
  <si>
    <t>4D2_2</t>
  </si>
  <si>
    <t>Total N2O production from animal waste voided in the field by grazing livestock</t>
  </si>
  <si>
    <t>E = (FN soil x EF x Cg) + (UN soil x EF x Cg)</t>
  </si>
  <si>
    <t>4D2_3</t>
  </si>
  <si>
    <t>EF (faeces)</t>
  </si>
  <si>
    <t>EF (urine)</t>
  </si>
  <si>
    <t>Total N2O emissions from manure, faeces and urine</t>
  </si>
  <si>
    <t>Atmospheric nitrogen deposition</t>
  </si>
  <si>
    <t>M = TM x FracGASF</t>
  </si>
  <si>
    <t>4D3_1</t>
  </si>
  <si>
    <t xml:space="preserve">M = mass of synthetic fertiliser volatilised </t>
  </si>
  <si>
    <t>FracGASF =0.1</t>
  </si>
  <si>
    <t>Gg N/Gg applied</t>
  </si>
  <si>
    <t>Fertiliser</t>
  </si>
  <si>
    <t>Gg N/farm/season</t>
  </si>
  <si>
    <t xml:space="preserve">The mass of animal waste volatilised </t>
  </si>
  <si>
    <t>M = AE x MMS x FracGASM</t>
  </si>
  <si>
    <t>4D3_2</t>
  </si>
  <si>
    <t>FracGASM = the fraction of N volatilised in each MMS</t>
  </si>
  <si>
    <t>Table 6.31</t>
  </si>
  <si>
    <t>The mass of savanna burning and field burning of agricultural residue NOx-N emissions that volatilise (M)</t>
  </si>
  <si>
    <t>M = E / (46/14)</t>
  </si>
  <si>
    <t>4D3_3</t>
  </si>
  <si>
    <t>E = NOx emissions from savanna burning and field burning of agricultural residues</t>
  </si>
  <si>
    <t>Gg NOx</t>
  </si>
  <si>
    <t>46/14 = factor to convert elemental mass of NOx to molecular mass</t>
  </si>
  <si>
    <t>Annual N2O production from atmospheric deposition (indirect ammonia)</t>
  </si>
  <si>
    <t>4D3_4</t>
  </si>
  <si>
    <t>M = mass of N volatilised from subset k</t>
  </si>
  <si>
    <t>EF = 0.01</t>
  </si>
  <si>
    <t>Animal waste</t>
  </si>
  <si>
    <t>Total CO2-e emissions from indirect ammonia losses</t>
  </si>
  <si>
    <t>Leaching of organic nitrogen and subsequent denitrification in rivers and estuaries</t>
  </si>
  <si>
    <t>The mass of fertiliser N applied to soils that is lost through leaching and runoff (M)</t>
  </si>
  <si>
    <t>M = M x FracWET x FracLEACH</t>
  </si>
  <si>
    <t>4D3_5</t>
  </si>
  <si>
    <t>M = mass of fertiliser in each production system</t>
  </si>
  <si>
    <t>FracWET  (fraction of N available for leaching and runoff)</t>
  </si>
  <si>
    <t>Appendix 6.J.1</t>
  </si>
  <si>
    <t>FracLEACH</t>
  </si>
  <si>
    <t>The mass of animal waste N applied to soils that is lost through leaching and runoff (M)</t>
  </si>
  <si>
    <t>M = (Mnsoil + UN soil + FN soil) x FracWET x FracLEACH</t>
  </si>
  <si>
    <t>4D3_6</t>
  </si>
  <si>
    <t>Mnsoil = mass of manure N applied to soils (animal wastes applied to soils)</t>
  </si>
  <si>
    <t>Unsoil = mass of urinary N applied to soils (animal production)</t>
  </si>
  <si>
    <t>Fnsoil =mass of faecal N applied to soils (animal production)</t>
  </si>
  <si>
    <t>Total N2O production from leaching and runoff</t>
  </si>
  <si>
    <t>4D3_7</t>
  </si>
  <si>
    <t>M = mass of N lost through leaching and runoff</t>
  </si>
  <si>
    <t>EF (emission factor)</t>
  </si>
  <si>
    <t>Total CO2-e emissions from leaching and runoff (indirect nitrate)</t>
  </si>
  <si>
    <t>Total CO2-e emissions from ammonia and nitrate</t>
  </si>
  <si>
    <t>Carbon sequestration potential of trees</t>
  </si>
  <si>
    <t>High</t>
  </si>
  <si>
    <t>Med-High</t>
  </si>
  <si>
    <t>Med</t>
  </si>
  <si>
    <t>Med-Low</t>
  </si>
  <si>
    <t>Low</t>
  </si>
  <si>
    <t>from</t>
  </si>
  <si>
    <t>to</t>
  </si>
  <si>
    <t>weight</t>
  </si>
  <si>
    <t>C content</t>
  </si>
  <si>
    <t>mm/yr</t>
  </si>
  <si>
    <t>m3/ha/yr</t>
  </si>
  <si>
    <t>dry-tonne/ m3</t>
  </si>
  <si>
    <t>t CO2e/ha</t>
  </si>
  <si>
    <t>Softwoods</t>
  </si>
  <si>
    <t>Pinus Radiata - Pine</t>
  </si>
  <si>
    <t>Hardwood</t>
  </si>
  <si>
    <t>Eucalyptus globulus - Blue gum</t>
  </si>
  <si>
    <t>Eucalyptus nitens - Shining gum</t>
  </si>
  <si>
    <t>Eucalyptus saligna - Sydney blue gum</t>
  </si>
  <si>
    <t>Eucalyptus grandis - Rose gum</t>
  </si>
  <si>
    <t>Comybia maculata - Spotted gum</t>
  </si>
  <si>
    <t>Speciality Hardwoods</t>
  </si>
  <si>
    <t>Acacia melanoxylon - Blackwood</t>
  </si>
  <si>
    <t>Eucalyptus camaldulensis - River red gum</t>
  </si>
  <si>
    <t>Eucalyptus sideroxylon - Ironbark</t>
  </si>
  <si>
    <t>Eucalyptus cladocalyx - Sugar gum</t>
  </si>
  <si>
    <t>Casuarina cunninghamiana - She oak</t>
  </si>
  <si>
    <t>Rainfall Selection</t>
  </si>
  <si>
    <t>Results</t>
  </si>
  <si>
    <t>High (&gt;700)</t>
  </si>
  <si>
    <t>Med (500 - 700)</t>
  </si>
  <si>
    <t>Low (&lt;500)</t>
  </si>
  <si>
    <t>Energy - Fuel and Electricity</t>
  </si>
  <si>
    <t>Annual diesel consumption (F)</t>
  </si>
  <si>
    <t>L/year</t>
  </si>
  <si>
    <t>Energy density for diesel (D)</t>
  </si>
  <si>
    <t>Gg/kL</t>
  </si>
  <si>
    <t>Oxidation factor for CO2 (P)</t>
  </si>
  <si>
    <t>Emission factor for CO2 (ADO) (EF)</t>
  </si>
  <si>
    <t>Gg CO2/PJ</t>
  </si>
  <si>
    <t>Annual electricity use (F)</t>
  </si>
  <si>
    <t>kWh</t>
  </si>
  <si>
    <t>Emission factor (electricity)</t>
  </si>
  <si>
    <t>Tonnes CO2-e/KWh</t>
  </si>
  <si>
    <t>CO2 emissions from diesel use</t>
  </si>
  <si>
    <t>E = F x D x P x EF x 10^-6</t>
  </si>
  <si>
    <t>Gg CO2</t>
  </si>
  <si>
    <t>CO2 emission factor for ADO</t>
  </si>
  <si>
    <t>g CO2/PJ</t>
  </si>
  <si>
    <t>CH4</t>
  </si>
  <si>
    <t>N2O</t>
  </si>
  <si>
    <t>NOx</t>
  </si>
  <si>
    <t>CO</t>
  </si>
  <si>
    <t>NMVOC</t>
  </si>
  <si>
    <t>SO2</t>
  </si>
  <si>
    <t>CO2 emissions from diesel use for non-CO2 gasses</t>
  </si>
  <si>
    <t>t CO2-e</t>
  </si>
  <si>
    <t>Total CO2-e emissions from diesel use</t>
  </si>
  <si>
    <t>CO2 emissions from electricity use</t>
  </si>
  <si>
    <t>E = F x EF</t>
  </si>
  <si>
    <t>Total CO2-e emissions from diesel and electricity</t>
  </si>
  <si>
    <t>Australian Current Best Performance for Fuel Class</t>
  </si>
  <si>
    <t>Fuel type</t>
  </si>
  <si>
    <t>Thermal efficiency (%)</t>
  </si>
  <si>
    <t>kg CO2/MWh</t>
  </si>
  <si>
    <t>t CO2/kWh</t>
  </si>
  <si>
    <t xml:space="preserve">Black Coal </t>
  </si>
  <si>
    <t xml:space="preserve">Brown Coal-Victorian </t>
  </si>
  <si>
    <t xml:space="preserve">Brown Coal-Sth Australian </t>
  </si>
  <si>
    <t xml:space="preserve">Natural Gas-Steam </t>
  </si>
  <si>
    <t>Natural Gas-Turbine</t>
  </si>
  <si>
    <t xml:space="preserve">Diesel </t>
  </si>
  <si>
    <t>Cogen -Oil fired steam</t>
  </si>
  <si>
    <t>Hydro or other clean Power</t>
  </si>
  <si>
    <t xml:space="preserve">Dry matter digestibility </t>
  </si>
  <si>
    <t>No inputs required for clean wool</t>
  </si>
  <si>
    <t>State</t>
  </si>
  <si>
    <t>t/year</t>
  </si>
  <si>
    <t>Clean Wool</t>
  </si>
  <si>
    <t>Live weight gain (LWG)</t>
  </si>
  <si>
    <t>kg/head</t>
  </si>
  <si>
    <t>Inventory reference</t>
  </si>
  <si>
    <t>kg N/ha</t>
  </si>
  <si>
    <t>kg N/ ha</t>
  </si>
  <si>
    <t xml:space="preserve">Dry matter digestibility (DMD) </t>
  </si>
  <si>
    <t>Crude protein (CP) content of feed</t>
  </si>
  <si>
    <t>EF = emission factor</t>
  </si>
  <si>
    <t>F = annual diesel consumption</t>
  </si>
  <si>
    <t>D = energy density for diesel</t>
  </si>
  <si>
    <t>P = oxidation factor for CO2</t>
  </si>
  <si>
    <t>F = Annual electricity use</t>
  </si>
  <si>
    <t>Welcome to the Sheep Greenhouse Accounting Framework (S-GAF)</t>
  </si>
  <si>
    <t>Average seasonal lambing rates</t>
  </si>
  <si>
    <t>zero and 1, not a %</t>
  </si>
  <si>
    <t xml:space="preserve">This must be a number between </t>
  </si>
  <si>
    <t xml:space="preserve">proportion i.e. for 80% in spring </t>
  </si>
  <si>
    <t>insert 0.8 into cell G34</t>
  </si>
  <si>
    <t xml:space="preserve">Not the percentage, but the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</si>
</sst>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quot; &quot;#,##0.00&quot; &quot;;&quot;-&quot;#,##0.00&quot; &quot;;&quot; -&quot;00&quot; &quot;;&quot; &quot;@&quot; &quot;"/>
    <numFmt numFmtId="166" formatCode="0.0"/>
    <numFmt numFmtId="167" formatCode="0.00000"/>
    <numFmt numFmtId="168" formatCode="0.000000"/>
    <numFmt numFmtId="169" formatCode="&quot; &quot;#,##0.00000000&quot; &quot;;&quot;-&quot;#,##0.00000000&quot; &quot;;&quot; -&quot;00&quot; &quot;;&quot; &quot;@&quot; &quot;"/>
    <numFmt numFmtId="170" formatCode="&quot; &quot;#,##0.0000&quot; &quot;;&quot;-&quot;#,##0.0000&quot; &quot;;&quot; -&quot;00&quot; &quot;;&quot; &quot;@&quot; &quot;"/>
    <numFmt numFmtId="171" formatCode="&quot; &quot;#,##0.00000000&quot; &quot;;&quot;-&quot;#,##0.00000000&quot; &quot;;&quot; -&quot;00000000&quot; &quot;;&quot; &quot;@&quot; &quot;"/>
    <numFmt numFmtId="172" formatCode="0.0000"/>
    <numFmt numFmtId="173" formatCode="0.0000000"/>
    <numFmt numFmtId="174" formatCode="0.000000000"/>
    <numFmt numFmtId="175" formatCode="0.00000000"/>
    <numFmt numFmtId="176" formatCode="&quot; &quot;#,##0&quot; &quot;;&quot;-&quot;#,##0&quot; &quot;;&quot; -&quot;00&quot; &quot;;&quot; &quot;@&quot; &quot;"/>
  </numFmts>
  <fonts count="87">
    <font>
      <sz val="10"/>
      <color rgb="FF000000"/>
      <name val="Arial"/>
      <family val="2"/>
    </font>
    <font>
      <sz val="10"/>
      <color indexed="8"/>
      <name val="Times New Roman"/>
      <family val="2"/>
    </font>
    <font>
      <sz val="14"/>
      <color indexed="8"/>
      <name val="Times New Roman"/>
      <family val="1"/>
    </font>
    <font>
      <b/>
      <sz val="14"/>
      <color indexed="8"/>
      <name val="Times New Roman"/>
      <family val="1"/>
    </font>
    <font>
      <u val="single"/>
      <sz val="14"/>
      <color indexed="12"/>
      <name val="Times New Roman"/>
      <family val="1"/>
    </font>
    <font>
      <u val="single"/>
      <vertAlign val="subscript"/>
      <sz val="14"/>
      <color indexed="12"/>
      <name val="Times New Roman"/>
      <family val="1"/>
    </font>
    <font>
      <b/>
      <vertAlign val="subscript"/>
      <sz val="14"/>
      <color indexed="8"/>
      <name val="Times New Roman"/>
      <family val="1"/>
    </font>
    <font>
      <vertAlign val="subscript"/>
      <sz val="14"/>
      <color indexed="8"/>
      <name val="Times New Roman"/>
      <family val="1"/>
    </font>
    <font>
      <sz val="11"/>
      <color indexed="8"/>
      <name val="Times New Roman"/>
      <family val="1"/>
    </font>
    <font>
      <vertAlign val="subscript"/>
      <sz val="11"/>
      <color indexed="8"/>
      <name val="Times New Roman"/>
      <family val="1"/>
    </font>
    <font>
      <sz val="8"/>
      <color indexed="8"/>
      <name val="Tahoma"/>
      <family val="2"/>
    </font>
    <font>
      <sz val="9"/>
      <color indexed="8"/>
      <name val="Tahoma"/>
      <family val="2"/>
    </font>
    <font>
      <b/>
      <sz val="8"/>
      <color indexed="8"/>
      <name val="Tahoma"/>
      <family val="2"/>
    </font>
    <font>
      <sz val="8"/>
      <name val="Tahoma"/>
      <family val="2"/>
    </font>
    <font>
      <sz val="12"/>
      <name val="Times New Roman"/>
      <family val="1"/>
    </font>
    <font>
      <sz val="11"/>
      <name val="Times New Roman"/>
      <family val="1"/>
    </font>
    <font>
      <sz val="12"/>
      <color indexed="8"/>
      <name val="Times New Roman"/>
      <family val="1"/>
    </font>
    <font>
      <sz val="10"/>
      <color indexed="8"/>
      <name val="Arial"/>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u val="single"/>
      <sz val="10"/>
      <color indexed="20"/>
      <name val="Arial"/>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
      <color indexed="12"/>
      <name val="Arial"/>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6"/>
      <color indexed="8"/>
      <name val="Times New Roman"/>
      <family val="1"/>
    </font>
    <font>
      <sz val="14"/>
      <color indexed="8"/>
      <name val="Arial"/>
      <family val="2"/>
    </font>
    <font>
      <b/>
      <sz val="11"/>
      <color indexed="8"/>
      <name val="Times New Roman"/>
      <family val="1"/>
    </font>
    <font>
      <b/>
      <sz val="12"/>
      <color indexed="8"/>
      <name val="Times New Roman"/>
      <family val="1"/>
    </font>
    <font>
      <i/>
      <sz val="12"/>
      <color indexed="8"/>
      <name val="Times New Roman"/>
      <family val="1"/>
    </font>
    <font>
      <i/>
      <sz val="12"/>
      <color indexed="10"/>
      <name val="Times New Roman"/>
      <family val="1"/>
    </font>
    <font>
      <i/>
      <sz val="11"/>
      <color indexed="10"/>
      <name val="Times New Roman"/>
      <family val="1"/>
    </font>
    <font>
      <sz val="10"/>
      <color indexed="8"/>
      <name val="Thorndale Duospace WT TC"/>
      <family val="3"/>
    </font>
    <font>
      <b/>
      <i/>
      <sz val="12"/>
      <color indexed="8"/>
      <name val="Times New Roman"/>
      <family val="1"/>
    </font>
    <font>
      <sz val="11"/>
      <color indexed="22"/>
      <name val="Times New Roman"/>
      <family val="1"/>
    </font>
    <font>
      <sz val="9.5"/>
      <color indexed="8"/>
      <name val="Arial"/>
      <family val="2"/>
    </font>
    <font>
      <sz val="9"/>
      <color indexed="8"/>
      <name val="Times New Roman"/>
      <family val="1"/>
    </font>
    <font>
      <sz val="4.5"/>
      <color indexed="8"/>
      <name val="Times New Roman"/>
      <family val="1"/>
    </font>
    <font>
      <sz val="6"/>
      <color indexed="8"/>
      <name val="Times New Roman"/>
      <family val="1"/>
    </font>
    <font>
      <b/>
      <sz val="8"/>
      <color indexed="8"/>
      <name val="Times New Roman"/>
      <family val="1"/>
    </font>
    <font>
      <b/>
      <sz val="14.4"/>
      <color indexed="8"/>
      <name val="Times New Roman"/>
      <family val="1"/>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u val="single"/>
      <sz val="10"/>
      <color theme="11"/>
      <name val="Arial"/>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rgb="FF0000FF"/>
      <name val="Arial"/>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sz val="14"/>
      <color rgb="FF000000"/>
      <name val="Times New Roman"/>
      <family val="1"/>
    </font>
    <font>
      <b/>
      <sz val="16"/>
      <color rgb="FF000000"/>
      <name val="Times New Roman"/>
      <family val="1"/>
    </font>
    <font>
      <sz val="14"/>
      <color rgb="FF000000"/>
      <name val="Arial"/>
      <family val="2"/>
    </font>
    <font>
      <sz val="12"/>
      <color rgb="FF000000"/>
      <name val="Times New Roman"/>
      <family val="1"/>
    </font>
    <font>
      <b/>
      <sz val="14"/>
      <color rgb="FF000000"/>
      <name val="Times New Roman"/>
      <family val="1"/>
    </font>
    <font>
      <u val="single"/>
      <sz val="14"/>
      <color rgb="FF0000FF"/>
      <name val="Times New Roman"/>
      <family val="1"/>
    </font>
    <font>
      <sz val="11"/>
      <color rgb="FF000000"/>
      <name val="Times New Roman"/>
      <family val="1"/>
    </font>
    <font>
      <b/>
      <sz val="11"/>
      <color rgb="FF000000"/>
      <name val="Times New Roman"/>
      <family val="1"/>
    </font>
    <font>
      <b/>
      <sz val="12"/>
      <color rgb="FF000000"/>
      <name val="Times New Roman"/>
      <family val="1"/>
    </font>
    <font>
      <i/>
      <sz val="12"/>
      <color rgb="FF000000"/>
      <name val="Times New Roman"/>
      <family val="1"/>
    </font>
    <font>
      <i/>
      <sz val="12"/>
      <color rgb="FFFF0000"/>
      <name val="Times New Roman"/>
      <family val="1"/>
    </font>
    <font>
      <i/>
      <sz val="11"/>
      <color rgb="FFFF0000"/>
      <name val="Times New Roman"/>
      <family val="1"/>
    </font>
    <font>
      <sz val="10"/>
      <color rgb="FF000000"/>
      <name val="Thorndale Duospace WT TC"/>
      <family val="3"/>
    </font>
    <font>
      <b/>
      <i/>
      <sz val="12"/>
      <color rgb="FF000000"/>
      <name val="Times New Roman"/>
      <family val="1"/>
    </font>
    <font>
      <sz val="11"/>
      <color theme="0" tint="-0.1499900072813034"/>
      <name val="Times New Roman"/>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F1DD"/>
        <bgColor indexed="64"/>
      </patternFill>
    </fill>
    <fill>
      <patternFill patternType="solid">
        <fgColor rgb="FFCCC0DA"/>
        <bgColor indexed="64"/>
      </patternFill>
    </fill>
    <fill>
      <patternFill patternType="solid">
        <fgColor rgb="FF60497B"/>
        <bgColor indexed="64"/>
      </patternFill>
    </fill>
    <fill>
      <patternFill patternType="solid">
        <fgColor rgb="FFB8CCE4"/>
        <bgColor indexed="64"/>
      </patternFill>
    </fill>
    <fill>
      <patternFill patternType="solid">
        <fgColor rgb="FF8DB4E3"/>
        <bgColor indexed="64"/>
      </patternFill>
    </fill>
    <fill>
      <patternFill patternType="solid">
        <fgColor rgb="FFD7E4BC"/>
        <bgColor indexed="64"/>
      </patternFill>
    </fill>
    <fill>
      <patternFill patternType="solid">
        <fgColor rgb="FFC2D69A"/>
        <bgColor indexed="64"/>
      </patternFill>
    </fill>
    <fill>
      <patternFill patternType="solid">
        <fgColor rgb="FFF2DDDC"/>
        <bgColor indexed="64"/>
      </patternFill>
    </fill>
    <fill>
      <patternFill patternType="solid">
        <fgColor rgb="FFE6B9B8"/>
        <bgColor indexed="64"/>
      </patternFill>
    </fill>
    <fill>
      <patternFill patternType="solid">
        <fgColor rgb="FFFFFFCC"/>
        <bgColor indexed="64"/>
      </patternFill>
    </fill>
    <fill>
      <patternFill patternType="solid">
        <fgColor rgb="FFFFFF99"/>
        <bgColor indexed="64"/>
      </patternFill>
    </fill>
    <fill>
      <patternFill patternType="solid">
        <fgColor rgb="FFDDD9C3"/>
        <bgColor indexed="64"/>
      </patternFill>
    </fill>
    <fill>
      <patternFill patternType="solid">
        <fgColor rgb="FFFDE9D9"/>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5" tint="0.799979984760284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border>
    <border>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style="thin">
        <color rgb="FF000000"/>
      </left>
      <right/>
      <top/>
      <bottom/>
    </border>
    <border>
      <left/>
      <right style="thin">
        <color rgb="FF000000"/>
      </right>
      <top/>
      <bottom/>
    </border>
    <border>
      <left style="thin">
        <color rgb="FF60497B"/>
      </left>
      <right style="thin">
        <color rgb="FF60497B"/>
      </right>
      <top style="thin">
        <color rgb="FF60497B"/>
      </top>
      <bottom style="thin">
        <color rgb="FF60497B"/>
      </bottom>
    </border>
    <border>
      <left style="thin">
        <color rgb="FF000000"/>
      </left>
      <right/>
      <top/>
      <bottom style="thin">
        <color rgb="FF000000"/>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medium"/>
      <right style="medium"/>
      <top style="medium"/>
      <bottom style="medium"/>
    </border>
    <border>
      <left/>
      <right/>
      <top style="thin"/>
      <bottom/>
    </border>
    <border>
      <left/>
      <right/>
      <top/>
      <bottom style="thin"/>
    </border>
    <border>
      <left/>
      <right style="thin"/>
      <top/>
      <bottom/>
    </border>
    <border>
      <left/>
      <right style="thin"/>
      <top style="thin"/>
      <bottom style="thin">
        <color rgb="FF000000"/>
      </bottom>
    </border>
    <border>
      <left>
        <color indexed="63"/>
      </left>
      <right/>
      <top style="thin"/>
      <bottom style="thin">
        <color rgb="FF000000"/>
      </bottom>
    </border>
    <border>
      <left style="thin"/>
      <right/>
      <top style="thin"/>
      <bottom style="thin">
        <color rgb="FF000000"/>
      </bottom>
    </border>
    <border>
      <left/>
      <right/>
      <top style="thin"/>
      <bottom style="thin"/>
    </border>
    <border>
      <left/>
      <right style="thin"/>
      <top style="thin"/>
      <bottom style="thin"/>
    </border>
    <border>
      <left style="thin"/>
      <right/>
      <top style="thin"/>
      <bottom style="thin"/>
    </border>
    <border>
      <left style="thin"/>
      <right>
        <color indexed="63"/>
      </right>
      <top style="thin">
        <color rgb="FF000000"/>
      </top>
      <bottom style="thin"/>
    </border>
    <border>
      <left>
        <color indexed="63"/>
      </left>
      <right>
        <color indexed="63"/>
      </right>
      <top style="thin">
        <color rgb="FF000000"/>
      </top>
      <bottom style="thin"/>
    </border>
    <border>
      <left/>
      <right style="thin"/>
      <top style="thin">
        <color rgb="FF000000"/>
      </top>
      <bottom style="thin"/>
    </border>
  </borders>
  <cellStyleXfs count="64">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65" fontId="0" fillId="0" borderId="0" applyFont="0" applyFill="0" applyBorder="0" applyAlignment="0" applyProtection="0"/>
    <xf numFmtId="41" fontId="52" fillId="0" borderId="0" applyFont="0" applyFill="0" applyBorder="0" applyAlignment="0" applyProtection="0"/>
    <xf numFmtId="44" fontId="52" fillId="0" borderId="0" applyFont="0" applyFill="0" applyBorder="0" applyAlignment="0" applyProtection="0"/>
    <xf numFmtId="42" fontId="5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pplyNumberFormat="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2" fillId="32" borderId="7" applyNumberFormat="0" applyFont="0" applyAlignment="0" applyProtection="0"/>
    <xf numFmtId="0" fontId="67" fillId="27" borderId="8" applyNumberFormat="0" applyAlignment="0" applyProtection="0"/>
    <xf numFmtId="9" fontId="52"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5">
    <xf numFmtId="0" fontId="0" fillId="0" borderId="0" xfId="0" applyAlignment="1">
      <alignment/>
    </xf>
    <xf numFmtId="0" fontId="71" fillId="0" borderId="0" xfId="0" applyFont="1" applyAlignment="1">
      <alignment/>
    </xf>
    <xf numFmtId="0" fontId="72" fillId="0" borderId="10" xfId="0" applyFont="1" applyBorder="1" applyAlignment="1">
      <alignment horizontal="center" wrapText="1"/>
    </xf>
    <xf numFmtId="0" fontId="73" fillId="0" borderId="0" xfId="0" applyFont="1" applyAlignment="1">
      <alignment/>
    </xf>
    <xf numFmtId="0" fontId="74" fillId="0" borderId="10" xfId="0" applyFont="1" applyBorder="1" applyAlignment="1">
      <alignment wrapText="1"/>
    </xf>
    <xf numFmtId="0" fontId="75" fillId="0" borderId="11" xfId="0" applyFont="1" applyBorder="1" applyAlignment="1">
      <alignment horizontal="center"/>
    </xf>
    <xf numFmtId="0" fontId="71" fillId="0" borderId="10" xfId="0" applyFont="1" applyBorder="1" applyAlignment="1">
      <alignment wrapText="1"/>
    </xf>
    <xf numFmtId="0" fontId="71" fillId="0" borderId="12" xfId="0" applyFont="1" applyBorder="1" applyAlignment="1">
      <alignment wrapText="1"/>
    </xf>
    <xf numFmtId="0" fontId="63" fillId="0" borderId="12" xfId="54" applyFont="1" applyBorder="1" applyAlignment="1">
      <alignment/>
    </xf>
    <xf numFmtId="0" fontId="76" fillId="0" borderId="12" xfId="54" applyFont="1" applyBorder="1" applyAlignment="1">
      <alignment wrapText="1"/>
    </xf>
    <xf numFmtId="0" fontId="75" fillId="33" borderId="12" xfId="0" applyFont="1" applyFill="1" applyBorder="1" applyAlignment="1">
      <alignment horizontal="center"/>
    </xf>
    <xf numFmtId="0" fontId="71" fillId="33" borderId="12" xfId="0" applyFont="1" applyFill="1" applyBorder="1" applyAlignment="1">
      <alignment horizontal="left" wrapText="1"/>
    </xf>
    <xf numFmtId="0" fontId="71" fillId="0" borderId="0" xfId="0" applyFont="1" applyFill="1" applyAlignment="1">
      <alignment/>
    </xf>
    <xf numFmtId="0" fontId="71" fillId="0" borderId="12" xfId="0" applyFont="1" applyFill="1" applyBorder="1" applyAlignment="1">
      <alignment horizontal="left" wrapText="1"/>
    </xf>
    <xf numFmtId="0" fontId="73" fillId="0" borderId="0" xfId="0" applyFont="1" applyFill="1" applyAlignment="1">
      <alignment/>
    </xf>
    <xf numFmtId="0" fontId="71" fillId="33" borderId="12" xfId="0" applyFont="1" applyFill="1" applyBorder="1" applyAlignment="1">
      <alignment horizontal="left" vertical="top" wrapText="1"/>
    </xf>
    <xf numFmtId="0" fontId="71" fillId="33" borderId="12" xfId="0" applyFont="1" applyFill="1" applyBorder="1" applyAlignment="1">
      <alignment vertical="top" wrapText="1"/>
    </xf>
    <xf numFmtId="0" fontId="71" fillId="0" borderId="12" xfId="0" applyFont="1" applyBorder="1" applyAlignment="1">
      <alignment vertical="top" wrapText="1"/>
    </xf>
    <xf numFmtId="0" fontId="71" fillId="0" borderId="12" xfId="0" applyFont="1" applyFill="1" applyBorder="1" applyAlignment="1">
      <alignment vertical="top" wrapText="1"/>
    </xf>
    <xf numFmtId="0" fontId="71" fillId="0" borderId="0" xfId="0" applyFont="1" applyAlignment="1">
      <alignment vertical="top" wrapText="1"/>
    </xf>
    <xf numFmtId="0" fontId="75" fillId="0" borderId="0" xfId="0" applyFont="1" applyAlignment="1">
      <alignment vertical="top" wrapText="1"/>
    </xf>
    <xf numFmtId="0" fontId="75" fillId="0" borderId="0" xfId="0" applyFont="1" applyAlignment="1">
      <alignment horizontal="center"/>
    </xf>
    <xf numFmtId="0" fontId="71" fillId="0" borderId="0" xfId="0" applyFont="1" applyAlignment="1">
      <alignment horizontal="left" vertical="top" wrapText="1"/>
    </xf>
    <xf numFmtId="0" fontId="71" fillId="0" borderId="0" xfId="0" applyFont="1" applyAlignment="1">
      <alignment horizontal="left" indent="1"/>
    </xf>
    <xf numFmtId="0" fontId="77" fillId="0" borderId="0" xfId="0" applyFont="1" applyFill="1" applyAlignment="1">
      <alignment/>
    </xf>
    <xf numFmtId="0" fontId="75" fillId="0" borderId="0" xfId="0" applyFont="1" applyFill="1" applyAlignment="1">
      <alignment/>
    </xf>
    <xf numFmtId="0" fontId="77" fillId="0" borderId="0" xfId="0" applyFont="1" applyFill="1" applyAlignment="1">
      <alignment/>
    </xf>
    <xf numFmtId="0" fontId="77" fillId="34" borderId="13" xfId="0" applyFont="1" applyFill="1" applyBorder="1" applyAlignment="1">
      <alignment/>
    </xf>
    <xf numFmtId="0" fontId="78" fillId="34" borderId="14" xfId="0" applyFont="1" applyFill="1" applyBorder="1" applyAlignment="1">
      <alignment/>
    </xf>
    <xf numFmtId="0" fontId="77" fillId="0" borderId="0" xfId="0" applyFont="1" applyFill="1" applyAlignment="1" applyProtection="1">
      <alignment/>
      <protection/>
    </xf>
    <xf numFmtId="2" fontId="77" fillId="0" borderId="0" xfId="0" applyNumberFormat="1" applyFont="1" applyFill="1" applyAlignment="1" applyProtection="1">
      <alignment horizontal="right" vertical="top" wrapText="1"/>
      <protection/>
    </xf>
    <xf numFmtId="0" fontId="77" fillId="34" borderId="15" xfId="0" applyFont="1" applyFill="1" applyBorder="1" applyAlignment="1">
      <alignment/>
    </xf>
    <xf numFmtId="165" fontId="77" fillId="0" borderId="0" xfId="0" applyNumberFormat="1" applyFont="1" applyFill="1" applyAlignment="1">
      <alignment/>
    </xf>
    <xf numFmtId="0" fontId="74" fillId="0" borderId="0" xfId="0" applyFont="1" applyFill="1" applyAlignment="1">
      <alignment/>
    </xf>
    <xf numFmtId="0" fontId="75" fillId="0" borderId="0" xfId="0" applyFont="1" applyFill="1" applyAlignment="1">
      <alignment/>
    </xf>
    <xf numFmtId="0" fontId="74" fillId="0" borderId="0" xfId="0" applyFont="1" applyFill="1" applyAlignment="1">
      <alignment wrapText="1"/>
    </xf>
    <xf numFmtId="0" fontId="74" fillId="34" borderId="16" xfId="0" applyFont="1" applyFill="1" applyBorder="1" applyAlignment="1">
      <alignment wrapText="1"/>
    </xf>
    <xf numFmtId="0" fontId="74" fillId="34" borderId="17" xfId="0" applyFont="1" applyFill="1" applyBorder="1" applyAlignment="1">
      <alignment wrapText="1"/>
    </xf>
    <xf numFmtId="0" fontId="79" fillId="34" borderId="17" xfId="0" applyFont="1" applyFill="1" applyBorder="1" applyAlignment="1">
      <alignment wrapText="1"/>
    </xf>
    <xf numFmtId="0" fontId="79" fillId="34" borderId="17" xfId="0" applyFont="1" applyFill="1" applyBorder="1" applyAlignment="1">
      <alignment vertical="top"/>
    </xf>
    <xf numFmtId="0" fontId="79" fillId="34" borderId="17" xfId="0" applyFont="1" applyFill="1" applyBorder="1" applyAlignment="1">
      <alignment/>
    </xf>
    <xf numFmtId="0" fontId="74" fillId="34" borderId="13" xfId="0" applyFont="1" applyFill="1" applyBorder="1" applyAlignment="1">
      <alignment horizontal="right" wrapText="1"/>
    </xf>
    <xf numFmtId="0" fontId="79" fillId="34" borderId="18" xfId="0" applyFont="1" applyFill="1" applyBorder="1" applyAlignment="1">
      <alignment/>
    </xf>
    <xf numFmtId="0" fontId="74" fillId="34" borderId="0" xfId="0" applyFont="1" applyFill="1" applyAlignment="1">
      <alignment/>
    </xf>
    <xf numFmtId="0" fontId="74" fillId="0" borderId="0" xfId="0" applyFont="1" applyFill="1" applyAlignment="1" applyProtection="1">
      <alignment/>
      <protection locked="0"/>
    </xf>
    <xf numFmtId="0" fontId="74" fillId="34" borderId="19" xfId="0" applyFont="1" applyFill="1" applyBorder="1" applyAlignment="1">
      <alignment horizontal="right"/>
    </xf>
    <xf numFmtId="0" fontId="74" fillId="34" borderId="18" xfId="0" applyFont="1" applyFill="1" applyBorder="1" applyAlignment="1">
      <alignment/>
    </xf>
    <xf numFmtId="0" fontId="74" fillId="0" borderId="20" xfId="0" applyFont="1" applyFill="1" applyBorder="1" applyAlignment="1" applyProtection="1">
      <alignment/>
      <protection locked="0"/>
    </xf>
    <xf numFmtId="0" fontId="74" fillId="34" borderId="21" xfId="0" applyFont="1" applyFill="1" applyBorder="1" applyAlignment="1">
      <alignment/>
    </xf>
    <xf numFmtId="0" fontId="74" fillId="34" borderId="22" xfId="0" applyFont="1" applyFill="1" applyBorder="1" applyAlignment="1">
      <alignment/>
    </xf>
    <xf numFmtId="0" fontId="74" fillId="34" borderId="22" xfId="0" applyFont="1" applyFill="1" applyBorder="1" applyAlignment="1" applyProtection="1">
      <alignment/>
      <protection/>
    </xf>
    <xf numFmtId="0" fontId="74" fillId="34" borderId="15" xfId="0" applyFont="1" applyFill="1" applyBorder="1" applyAlignment="1">
      <alignment horizontal="right"/>
    </xf>
    <xf numFmtId="1" fontId="74" fillId="0" borderId="0" xfId="0" applyNumberFormat="1" applyFont="1" applyFill="1" applyAlignment="1">
      <alignment/>
    </xf>
    <xf numFmtId="0" fontId="74" fillId="34" borderId="0" xfId="0" applyFont="1" applyFill="1" applyAlignment="1">
      <alignment horizontal="right"/>
    </xf>
    <xf numFmtId="0" fontId="79" fillId="34" borderId="16" xfId="0" applyFont="1" applyFill="1" applyBorder="1" applyAlignment="1">
      <alignment/>
    </xf>
    <xf numFmtId="0" fontId="74" fillId="34" borderId="17" xfId="0" applyFont="1" applyFill="1" applyBorder="1" applyAlignment="1">
      <alignment/>
    </xf>
    <xf numFmtId="0" fontId="74" fillId="0" borderId="17" xfId="0" applyFont="1" applyFill="1" applyBorder="1" applyAlignment="1" applyProtection="1">
      <alignment/>
      <protection locked="0"/>
    </xf>
    <xf numFmtId="0" fontId="74" fillId="34" borderId="13" xfId="0" applyFont="1" applyFill="1" applyBorder="1" applyAlignment="1">
      <alignment horizontal="right"/>
    </xf>
    <xf numFmtId="2" fontId="74" fillId="0" borderId="17" xfId="0" applyNumberFormat="1" applyFont="1" applyFill="1" applyBorder="1" applyAlignment="1" applyProtection="1">
      <alignment/>
      <protection locked="0"/>
    </xf>
    <xf numFmtId="2" fontId="74" fillId="0" borderId="0" xfId="0" applyNumberFormat="1" applyFont="1" applyFill="1" applyAlignment="1" applyProtection="1">
      <alignment/>
      <protection locked="0"/>
    </xf>
    <xf numFmtId="2" fontId="74" fillId="34" borderId="22" xfId="0" applyNumberFormat="1" applyFont="1" applyFill="1" applyBorder="1" applyAlignment="1" applyProtection="1">
      <alignment/>
      <protection locked="0"/>
    </xf>
    <xf numFmtId="166" fontId="74" fillId="34" borderId="22" xfId="0" applyNumberFormat="1" applyFont="1" applyFill="1" applyBorder="1" applyAlignment="1" applyProtection="1">
      <alignment/>
      <protection locked="0"/>
    </xf>
    <xf numFmtId="0" fontId="80" fillId="34" borderId="18" xfId="0" applyFont="1" applyFill="1" applyBorder="1" applyAlignment="1">
      <alignment/>
    </xf>
    <xf numFmtId="0" fontId="74" fillId="34" borderId="22" xfId="0" applyFont="1" applyFill="1" applyBorder="1" applyAlignment="1" applyProtection="1">
      <alignment/>
      <protection locked="0"/>
    </xf>
    <xf numFmtId="0" fontId="74" fillId="34" borderId="0" xfId="0" applyFont="1" applyFill="1" applyAlignment="1" applyProtection="1">
      <alignment/>
      <protection locked="0"/>
    </xf>
    <xf numFmtId="166" fontId="74" fillId="0" borderId="0" xfId="0" applyNumberFormat="1" applyFont="1" applyAlignment="1">
      <alignment vertical="top" wrapText="1"/>
    </xf>
    <xf numFmtId="0" fontId="79" fillId="34" borderId="14" xfId="0" applyFont="1" applyFill="1" applyBorder="1" applyAlignment="1">
      <alignment/>
    </xf>
    <xf numFmtId="0" fontId="74" fillId="34" borderId="23" xfId="0" applyFont="1" applyFill="1" applyBorder="1" applyAlignment="1">
      <alignment/>
    </xf>
    <xf numFmtId="0" fontId="74" fillId="0" borderId="23" xfId="0" applyFont="1" applyFill="1" applyBorder="1" applyAlignment="1" applyProtection="1">
      <alignment/>
      <protection locked="0"/>
    </xf>
    <xf numFmtId="0" fontId="74" fillId="34" borderId="24" xfId="0" applyFont="1" applyFill="1" applyBorder="1" applyAlignment="1">
      <alignment/>
    </xf>
    <xf numFmtId="0" fontId="77" fillId="0" borderId="17" xfId="0" applyFont="1" applyFill="1" applyBorder="1" applyAlignment="1" applyProtection="1">
      <alignment/>
      <protection locked="0"/>
    </xf>
    <xf numFmtId="0" fontId="77" fillId="0" borderId="22" xfId="0" applyFont="1" applyFill="1" applyBorder="1" applyAlignment="1" applyProtection="1">
      <alignment/>
      <protection locked="0"/>
    </xf>
    <xf numFmtId="0" fontId="78" fillId="34" borderId="16" xfId="0" applyFont="1" applyFill="1" applyBorder="1" applyAlignment="1">
      <alignment/>
    </xf>
    <xf numFmtId="0" fontId="78" fillId="34" borderId="21" xfId="0" applyFont="1" applyFill="1" applyBorder="1" applyAlignment="1">
      <alignment/>
    </xf>
    <xf numFmtId="0" fontId="81" fillId="34" borderId="0" xfId="0" applyFont="1" applyFill="1" applyAlignment="1">
      <alignment/>
    </xf>
    <xf numFmtId="166" fontId="74" fillId="35" borderId="25" xfId="0" applyNumberFormat="1" applyFont="1" applyFill="1" applyBorder="1" applyAlignment="1">
      <alignment/>
    </xf>
    <xf numFmtId="0" fontId="82" fillId="34" borderId="24" xfId="0" applyFont="1" applyFill="1" applyBorder="1" applyAlignment="1">
      <alignment/>
    </xf>
    <xf numFmtId="0" fontId="77" fillId="0" borderId="0" xfId="0" applyFont="1" applyFill="1" applyAlignment="1" applyProtection="1">
      <alignment/>
      <protection locked="0"/>
    </xf>
    <xf numFmtId="0" fontId="74" fillId="0" borderId="0" xfId="0" applyFont="1" applyAlignment="1">
      <alignment/>
    </xf>
    <xf numFmtId="0" fontId="74" fillId="0" borderId="0" xfId="0" applyFont="1" applyAlignment="1">
      <alignment vertical="top" wrapText="1"/>
    </xf>
    <xf numFmtId="166" fontId="74" fillId="0" borderId="0" xfId="0" applyNumberFormat="1" applyFont="1" applyAlignment="1">
      <alignment/>
    </xf>
    <xf numFmtId="164" fontId="74" fillId="0" borderId="0" xfId="0" applyNumberFormat="1" applyFont="1" applyAlignment="1">
      <alignment vertical="top" wrapText="1"/>
    </xf>
    <xf numFmtId="0" fontId="75" fillId="0" borderId="0" xfId="0" applyFont="1" applyAlignment="1">
      <alignment/>
    </xf>
    <xf numFmtId="0" fontId="74" fillId="0" borderId="0" xfId="0" applyFont="1" applyAlignment="1">
      <alignment horizontal="right"/>
    </xf>
    <xf numFmtId="0" fontId="79" fillId="0" borderId="0" xfId="0" applyFont="1" applyAlignment="1">
      <alignment horizontal="center"/>
    </xf>
    <xf numFmtId="0" fontId="79" fillId="36" borderId="23" xfId="0" applyFont="1" applyFill="1" applyBorder="1" applyAlignment="1">
      <alignment/>
    </xf>
    <xf numFmtId="0" fontId="79" fillId="37" borderId="23" xfId="0" applyFont="1" applyFill="1" applyBorder="1" applyAlignment="1">
      <alignment horizontal="center"/>
    </xf>
    <xf numFmtId="0" fontId="74" fillId="36" borderId="0" xfId="0" applyFont="1" applyFill="1" applyAlignment="1">
      <alignment/>
    </xf>
    <xf numFmtId="0" fontId="74" fillId="36" borderId="0" xfId="0" applyFont="1" applyFill="1" applyAlignment="1">
      <alignment horizontal="right"/>
    </xf>
    <xf numFmtId="0" fontId="79" fillId="37" borderId="0" xfId="0" applyFont="1" applyFill="1" applyAlignment="1">
      <alignment horizontal="center"/>
    </xf>
    <xf numFmtId="0" fontId="79" fillId="36" borderId="0" xfId="0" applyFont="1" applyFill="1" applyAlignment="1">
      <alignment/>
    </xf>
    <xf numFmtId="0" fontId="74" fillId="36" borderId="0" xfId="0" applyFont="1" applyFill="1" applyAlignment="1">
      <alignment vertical="top" wrapText="1"/>
    </xf>
    <xf numFmtId="0" fontId="74" fillId="36" borderId="0" xfId="0" applyFont="1" applyFill="1" applyAlignment="1">
      <alignment horizontal="right" vertical="top" wrapText="1"/>
    </xf>
    <xf numFmtId="164" fontId="74" fillId="36" borderId="0" xfId="0" applyNumberFormat="1" applyFont="1" applyFill="1" applyAlignment="1">
      <alignment/>
    </xf>
    <xf numFmtId="0" fontId="74" fillId="36" borderId="0" xfId="0" applyFont="1" applyFill="1" applyAlignment="1">
      <alignment vertical="top"/>
    </xf>
    <xf numFmtId="164" fontId="74" fillId="36" borderId="0" xfId="0" applyNumberFormat="1" applyFont="1" applyFill="1" applyAlignment="1">
      <alignment vertical="top" wrapText="1"/>
    </xf>
    <xf numFmtId="2" fontId="74" fillId="36" borderId="0" xfId="0" applyNumberFormat="1" applyFont="1" applyFill="1" applyAlignment="1">
      <alignment vertical="top" wrapText="1"/>
    </xf>
    <xf numFmtId="2" fontId="74" fillId="36" borderId="0" xfId="0" applyNumberFormat="1" applyFont="1" applyFill="1" applyAlignment="1">
      <alignment/>
    </xf>
    <xf numFmtId="166" fontId="74" fillId="36" borderId="0" xfId="0" applyNumberFormat="1" applyFont="1" applyFill="1" applyAlignment="1">
      <alignment/>
    </xf>
    <xf numFmtId="0" fontId="74" fillId="0" borderId="0" xfId="0" applyFont="1" applyAlignment="1">
      <alignment/>
    </xf>
    <xf numFmtId="0" fontId="74" fillId="0" borderId="0" xfId="0" applyFont="1" applyAlignment="1">
      <alignment horizontal="center"/>
    </xf>
    <xf numFmtId="0" fontId="74" fillId="36" borderId="22" xfId="0" applyFont="1" applyFill="1" applyBorder="1" applyAlignment="1">
      <alignment/>
    </xf>
    <xf numFmtId="0" fontId="74" fillId="36" borderId="22" xfId="0" applyFont="1" applyFill="1" applyBorder="1" applyAlignment="1">
      <alignment vertical="top" wrapText="1"/>
    </xf>
    <xf numFmtId="0" fontId="79" fillId="36" borderId="22" xfId="0" applyFont="1" applyFill="1" applyBorder="1" applyAlignment="1">
      <alignment/>
    </xf>
    <xf numFmtId="1" fontId="74" fillId="36" borderId="22" xfId="0" applyNumberFormat="1" applyFont="1" applyFill="1" applyBorder="1" applyAlignment="1">
      <alignment/>
    </xf>
    <xf numFmtId="0" fontId="79" fillId="37" borderId="22" xfId="0" applyFont="1" applyFill="1" applyBorder="1" applyAlignment="1">
      <alignment horizontal="center"/>
    </xf>
    <xf numFmtId="3" fontId="74" fillId="0" borderId="0" xfId="0" applyNumberFormat="1" applyFont="1" applyAlignment="1">
      <alignment/>
    </xf>
    <xf numFmtId="0" fontId="80" fillId="0" borderId="0" xfId="0" applyFont="1" applyAlignment="1">
      <alignment horizontal="right"/>
    </xf>
    <xf numFmtId="0" fontId="74" fillId="0" borderId="16" xfId="0" applyFont="1" applyBorder="1" applyAlignment="1">
      <alignment/>
    </xf>
    <xf numFmtId="0" fontId="74" fillId="0" borderId="13" xfId="0" applyFont="1" applyBorder="1" applyAlignment="1">
      <alignment/>
    </xf>
    <xf numFmtId="0" fontId="79" fillId="38" borderId="23" xfId="0" applyFont="1" applyFill="1" applyBorder="1" applyAlignment="1">
      <alignment/>
    </xf>
    <xf numFmtId="0" fontId="79" fillId="39" borderId="23" xfId="0" applyFont="1" applyFill="1" applyBorder="1" applyAlignment="1">
      <alignment horizontal="center"/>
    </xf>
    <xf numFmtId="0" fontId="74" fillId="0" borderId="18" xfId="0" applyFont="1" applyBorder="1" applyAlignment="1">
      <alignment/>
    </xf>
    <xf numFmtId="0" fontId="74" fillId="0" borderId="19" xfId="0" applyFont="1" applyBorder="1" applyAlignment="1">
      <alignment/>
    </xf>
    <xf numFmtId="0" fontId="74" fillId="38" borderId="0" xfId="0" applyFont="1" applyFill="1" applyAlignment="1">
      <alignment/>
    </xf>
    <xf numFmtId="0" fontId="74" fillId="38" borderId="0" xfId="0" applyFont="1" applyFill="1" applyAlignment="1">
      <alignment horizontal="right"/>
    </xf>
    <xf numFmtId="0" fontId="79" fillId="39" borderId="0" xfId="0" applyFont="1" applyFill="1" applyAlignment="1">
      <alignment horizontal="center"/>
    </xf>
    <xf numFmtId="0" fontId="79" fillId="38" borderId="0" xfId="0" applyFont="1" applyFill="1" applyAlignment="1">
      <alignment/>
    </xf>
    <xf numFmtId="0" fontId="74" fillId="0" borderId="21" xfId="0" applyFont="1" applyBorder="1" applyAlignment="1">
      <alignment/>
    </xf>
    <xf numFmtId="0" fontId="74" fillId="0" borderId="15" xfId="0" applyFont="1" applyBorder="1" applyAlignment="1">
      <alignment/>
    </xf>
    <xf numFmtId="0" fontId="74" fillId="38" borderId="17" xfId="0" applyFont="1" applyFill="1" applyBorder="1" applyAlignment="1">
      <alignment/>
    </xf>
    <xf numFmtId="0" fontId="74" fillId="38" borderId="17" xfId="0" applyFont="1" applyFill="1" applyBorder="1" applyAlignment="1">
      <alignment horizontal="right"/>
    </xf>
    <xf numFmtId="0" fontId="74" fillId="38" borderId="22" xfId="0" applyFont="1" applyFill="1" applyBorder="1" applyAlignment="1">
      <alignment/>
    </xf>
    <xf numFmtId="0" fontId="74" fillId="38" borderId="22" xfId="0" applyFont="1" applyFill="1" applyBorder="1" applyAlignment="1">
      <alignment horizontal="right"/>
    </xf>
    <xf numFmtId="167" fontId="74" fillId="38" borderId="0" xfId="0" applyNumberFormat="1" applyFont="1" applyFill="1" applyAlignment="1">
      <alignment/>
    </xf>
    <xf numFmtId="168" fontId="74" fillId="38" borderId="0" xfId="0" applyNumberFormat="1" applyFont="1" applyFill="1" applyAlignment="1">
      <alignment/>
    </xf>
    <xf numFmtId="164" fontId="74" fillId="38" borderId="0" xfId="0" applyNumberFormat="1" applyFont="1" applyFill="1" applyAlignment="1">
      <alignment/>
    </xf>
    <xf numFmtId="0" fontId="79" fillId="38" borderId="22" xfId="0" applyFont="1" applyFill="1" applyBorder="1" applyAlignment="1">
      <alignment/>
    </xf>
    <xf numFmtId="164" fontId="74" fillId="38" borderId="22" xfId="0" applyNumberFormat="1" applyFont="1" applyFill="1" applyBorder="1" applyAlignment="1">
      <alignment/>
    </xf>
    <xf numFmtId="0" fontId="79" fillId="39" borderId="22" xfId="0" applyFont="1" applyFill="1" applyBorder="1" applyAlignment="1">
      <alignment horizontal="center"/>
    </xf>
    <xf numFmtId="0" fontId="79" fillId="40" borderId="23" xfId="0" applyFont="1" applyFill="1" applyBorder="1" applyAlignment="1">
      <alignment/>
    </xf>
    <xf numFmtId="0" fontId="79" fillId="41" borderId="23" xfId="0" applyFont="1" applyFill="1" applyBorder="1" applyAlignment="1">
      <alignment horizontal="center"/>
    </xf>
    <xf numFmtId="0" fontId="74" fillId="40" borderId="0" xfId="0" applyFont="1" applyFill="1" applyAlignment="1">
      <alignment/>
    </xf>
    <xf numFmtId="0" fontId="74" fillId="40" borderId="0" xfId="0" applyFont="1" applyFill="1" applyAlignment="1">
      <alignment vertical="top" wrapText="1"/>
    </xf>
    <xf numFmtId="0" fontId="79" fillId="41" borderId="0" xfId="0" applyFont="1" applyFill="1" applyAlignment="1">
      <alignment horizontal="center"/>
    </xf>
    <xf numFmtId="0" fontId="79" fillId="40" borderId="0" xfId="0" applyFont="1" applyFill="1" applyAlignment="1">
      <alignment/>
    </xf>
    <xf numFmtId="0" fontId="79" fillId="40" borderId="0" xfId="0" applyFont="1" applyFill="1" applyAlignment="1">
      <alignment vertical="top"/>
    </xf>
    <xf numFmtId="0" fontId="74" fillId="40" borderId="0" xfId="0" applyFont="1" applyFill="1" applyAlignment="1">
      <alignment vertical="top"/>
    </xf>
    <xf numFmtId="0" fontId="74" fillId="40" borderId="0" xfId="0" applyFont="1" applyFill="1" applyAlignment="1">
      <alignment/>
    </xf>
    <xf numFmtId="164" fontId="74" fillId="40" borderId="0" xfId="0" applyNumberFormat="1" applyFont="1" applyFill="1" applyAlignment="1">
      <alignment vertical="top"/>
    </xf>
    <xf numFmtId="0" fontId="74" fillId="40" borderId="0" xfId="0" applyFont="1" applyFill="1" applyAlignment="1">
      <alignment horizontal="center" vertical="top"/>
    </xf>
    <xf numFmtId="1" fontId="74" fillId="40" borderId="0" xfId="0" applyNumberFormat="1" applyFont="1" applyFill="1" applyAlignment="1">
      <alignment/>
    </xf>
    <xf numFmtId="2" fontId="74" fillId="40" borderId="0" xfId="0" applyNumberFormat="1" applyFont="1" applyFill="1" applyAlignment="1">
      <alignment vertical="top"/>
    </xf>
    <xf numFmtId="0" fontId="74" fillId="41" borderId="0" xfId="0" applyFont="1" applyFill="1" applyAlignment="1">
      <alignment horizontal="left" vertical="top"/>
    </xf>
    <xf numFmtId="0" fontId="79" fillId="40" borderId="0" xfId="0" applyFont="1" applyFill="1" applyAlignment="1">
      <alignment/>
    </xf>
    <xf numFmtId="166" fontId="74" fillId="40" borderId="0" xfId="0" applyNumberFormat="1" applyFont="1" applyFill="1" applyAlignment="1">
      <alignment/>
    </xf>
    <xf numFmtId="0" fontId="83" fillId="41" borderId="0" xfId="0" applyFont="1" applyFill="1" applyAlignment="1">
      <alignment/>
    </xf>
    <xf numFmtId="172" fontId="74" fillId="40" borderId="0" xfId="0" applyNumberFormat="1" applyFont="1" applyFill="1" applyAlignment="1">
      <alignment/>
    </xf>
    <xf numFmtId="167" fontId="74" fillId="40" borderId="0" xfId="0" applyNumberFormat="1" applyFont="1" applyFill="1" applyAlignment="1">
      <alignment/>
    </xf>
    <xf numFmtId="164" fontId="74" fillId="40" borderId="0" xfId="0" applyNumberFormat="1" applyFont="1" applyFill="1" applyAlignment="1">
      <alignment/>
    </xf>
    <xf numFmtId="173" fontId="74" fillId="40" borderId="0" xfId="0" applyNumberFormat="1" applyFont="1" applyFill="1" applyAlignment="1">
      <alignment/>
    </xf>
    <xf numFmtId="0" fontId="79" fillId="40" borderId="22" xfId="0" applyFont="1" applyFill="1" applyBorder="1" applyAlignment="1">
      <alignment/>
    </xf>
    <xf numFmtId="2" fontId="74" fillId="40" borderId="22" xfId="0" applyNumberFormat="1" applyFont="1" applyFill="1" applyBorder="1" applyAlignment="1">
      <alignment/>
    </xf>
    <xf numFmtId="0" fontId="74" fillId="40" borderId="22" xfId="0" applyFont="1" applyFill="1" applyBorder="1" applyAlignment="1">
      <alignment/>
    </xf>
    <xf numFmtId="0" fontId="74" fillId="40" borderId="0" xfId="0" applyFont="1" applyFill="1" applyAlignment="1">
      <alignment horizontal="center"/>
    </xf>
    <xf numFmtId="0" fontId="74" fillId="40" borderId="22" xfId="0" applyFont="1" applyFill="1" applyBorder="1" applyAlignment="1">
      <alignment horizontal="center"/>
    </xf>
    <xf numFmtId="0" fontId="79" fillId="41" borderId="22" xfId="0" applyFont="1" applyFill="1" applyBorder="1" applyAlignment="1">
      <alignment horizontal="center"/>
    </xf>
    <xf numFmtId="164" fontId="74" fillId="0" borderId="0" xfId="0" applyNumberFormat="1" applyFont="1" applyAlignment="1">
      <alignment/>
    </xf>
    <xf numFmtId="169" fontId="74" fillId="0" borderId="0" xfId="0" applyNumberFormat="1" applyFont="1" applyAlignment="1">
      <alignment/>
    </xf>
    <xf numFmtId="170" fontId="74" fillId="0" borderId="0" xfId="42" applyNumberFormat="1" applyFont="1" applyAlignment="1">
      <alignment/>
    </xf>
    <xf numFmtId="171" fontId="74" fillId="0" borderId="0" xfId="0" applyNumberFormat="1" applyFont="1" applyAlignment="1">
      <alignment/>
    </xf>
    <xf numFmtId="0" fontId="79" fillId="42" borderId="23" xfId="0" applyFont="1" applyFill="1" applyBorder="1" applyAlignment="1">
      <alignment/>
    </xf>
    <xf numFmtId="0" fontId="74" fillId="42" borderId="23" xfId="0" applyFont="1" applyFill="1" applyBorder="1" applyAlignment="1">
      <alignment/>
    </xf>
    <xf numFmtId="0" fontId="79" fillId="43" borderId="23" xfId="0" applyFont="1" applyFill="1" applyBorder="1" applyAlignment="1">
      <alignment horizontal="center"/>
    </xf>
    <xf numFmtId="0" fontId="74" fillId="42" borderId="0" xfId="0" applyFont="1" applyFill="1" applyAlignment="1">
      <alignment/>
    </xf>
    <xf numFmtId="175" fontId="74" fillId="42" borderId="0" xfId="0" applyNumberFormat="1" applyFont="1" applyFill="1" applyAlignment="1">
      <alignment/>
    </xf>
    <xf numFmtId="0" fontId="79" fillId="43" borderId="0" xfId="0" applyFont="1" applyFill="1" applyAlignment="1">
      <alignment horizontal="center"/>
    </xf>
    <xf numFmtId="0" fontId="79" fillId="42" borderId="0" xfId="0" applyFont="1" applyFill="1" applyAlignment="1">
      <alignment/>
    </xf>
    <xf numFmtId="166" fontId="74" fillId="42" borderId="0" xfId="0" applyNumberFormat="1" applyFont="1" applyFill="1" applyAlignment="1">
      <alignment/>
    </xf>
    <xf numFmtId="0" fontId="79" fillId="43" borderId="0" xfId="0" applyFont="1" applyFill="1" applyAlignment="1">
      <alignment horizontal="center" vertical="top" wrapText="1"/>
    </xf>
    <xf numFmtId="0" fontId="80" fillId="0" borderId="0" xfId="0" applyFont="1" applyAlignment="1">
      <alignment/>
    </xf>
    <xf numFmtId="0" fontId="80" fillId="0" borderId="0" xfId="0" applyFont="1" applyFill="1" applyAlignment="1">
      <alignment/>
    </xf>
    <xf numFmtId="0" fontId="80" fillId="42" borderId="0" xfId="0" applyFont="1" applyFill="1" applyAlignment="1">
      <alignment/>
    </xf>
    <xf numFmtId="2" fontId="74" fillId="42" borderId="0" xfId="0" applyNumberFormat="1" applyFont="1" applyFill="1" applyAlignment="1">
      <alignment/>
    </xf>
    <xf numFmtId="0" fontId="74" fillId="42" borderId="17" xfId="0" applyFont="1" applyFill="1" applyBorder="1" applyAlignment="1">
      <alignment/>
    </xf>
    <xf numFmtId="0" fontId="80" fillId="42" borderId="22" xfId="0" applyFont="1" applyFill="1" applyBorder="1" applyAlignment="1">
      <alignment/>
    </xf>
    <xf numFmtId="0" fontId="74" fillId="42" borderId="22" xfId="0" applyFont="1" applyFill="1" applyBorder="1" applyAlignment="1">
      <alignment/>
    </xf>
    <xf numFmtId="0" fontId="80" fillId="0" borderId="0" xfId="0" applyFont="1" applyAlignment="1">
      <alignment vertical="top" wrapText="1"/>
    </xf>
    <xf numFmtId="165" fontId="74" fillId="42" borderId="0" xfId="42" applyFont="1" applyFill="1" applyAlignment="1">
      <alignment/>
    </xf>
    <xf numFmtId="174" fontId="74" fillId="0" borderId="0" xfId="0" applyNumberFormat="1" applyFont="1" applyAlignment="1">
      <alignment/>
    </xf>
    <xf numFmtId="0" fontId="79" fillId="42" borderId="14" xfId="0" applyFont="1" applyFill="1" applyBorder="1" applyAlignment="1">
      <alignment/>
    </xf>
    <xf numFmtId="0" fontId="79" fillId="42" borderId="24" xfId="0" applyFont="1" applyFill="1" applyBorder="1" applyAlignment="1">
      <alignment/>
    </xf>
    <xf numFmtId="0" fontId="79" fillId="42" borderId="16" xfId="0" applyFont="1" applyFill="1" applyBorder="1" applyAlignment="1">
      <alignment/>
    </xf>
    <xf numFmtId="0" fontId="74" fillId="42" borderId="13" xfId="0" applyFont="1" applyFill="1" applyBorder="1" applyAlignment="1">
      <alignment/>
    </xf>
    <xf numFmtId="0" fontId="74" fillId="42" borderId="18" xfId="0" applyFont="1" applyFill="1" applyBorder="1" applyAlignment="1">
      <alignment/>
    </xf>
    <xf numFmtId="0" fontId="74" fillId="42" borderId="19" xfId="0" applyFont="1" applyFill="1" applyBorder="1" applyAlignment="1">
      <alignment/>
    </xf>
    <xf numFmtId="0" fontId="79" fillId="42" borderId="18" xfId="0" applyFont="1" applyFill="1" applyBorder="1" applyAlignment="1">
      <alignment/>
    </xf>
    <xf numFmtId="0" fontId="79" fillId="42" borderId="19" xfId="0" applyFont="1" applyFill="1" applyBorder="1" applyAlignment="1">
      <alignment/>
    </xf>
    <xf numFmtId="0" fontId="74" fillId="42" borderId="21" xfId="0" applyFont="1" applyFill="1" applyBorder="1" applyAlignment="1">
      <alignment/>
    </xf>
    <xf numFmtId="0" fontId="74" fillId="42" borderId="15" xfId="0" applyFont="1" applyFill="1" applyBorder="1" applyAlignment="1">
      <alignment/>
    </xf>
    <xf numFmtId="164" fontId="74" fillId="0" borderId="0" xfId="0" applyNumberFormat="1" applyFont="1" applyFill="1" applyAlignment="1">
      <alignment horizontal="right"/>
    </xf>
    <xf numFmtId="0" fontId="79" fillId="42" borderId="17" xfId="0" applyFont="1" applyFill="1" applyBorder="1" applyAlignment="1">
      <alignment/>
    </xf>
    <xf numFmtId="0" fontId="79" fillId="43" borderId="13" xfId="0" applyFont="1" applyFill="1" applyBorder="1" applyAlignment="1">
      <alignment horizontal="center"/>
    </xf>
    <xf numFmtId="0" fontId="74" fillId="43" borderId="19" xfId="0" applyFont="1" applyFill="1" applyBorder="1" applyAlignment="1">
      <alignment/>
    </xf>
    <xf numFmtId="0" fontId="79" fillId="43" borderId="19" xfId="0" applyFont="1" applyFill="1" applyBorder="1" applyAlignment="1">
      <alignment horizontal="center"/>
    </xf>
    <xf numFmtId="0" fontId="74" fillId="0" borderId="0" xfId="0" applyFont="1" applyFill="1" applyAlignment="1">
      <alignment/>
    </xf>
    <xf numFmtId="0" fontId="79" fillId="42" borderId="22" xfId="0" applyFont="1" applyFill="1" applyBorder="1" applyAlignment="1">
      <alignment/>
    </xf>
    <xf numFmtId="0" fontId="79" fillId="43" borderId="15" xfId="0" applyFont="1" applyFill="1" applyBorder="1" applyAlignment="1">
      <alignment horizontal="center"/>
    </xf>
    <xf numFmtId="174" fontId="74" fillId="0" borderId="0" xfId="0" applyNumberFormat="1" applyFont="1" applyFill="1" applyAlignment="1">
      <alignment/>
    </xf>
    <xf numFmtId="0" fontId="74" fillId="42" borderId="0" xfId="0" applyFont="1" applyFill="1" applyAlignment="1">
      <alignment horizontal="right"/>
    </xf>
    <xf numFmtId="0" fontId="79" fillId="43" borderId="0" xfId="0" applyFont="1" applyFill="1" applyAlignment="1">
      <alignment horizontal="left"/>
    </xf>
    <xf numFmtId="173" fontId="74" fillId="42" borderId="0" xfId="0" applyNumberFormat="1" applyFont="1" applyFill="1" applyAlignment="1">
      <alignment/>
    </xf>
    <xf numFmtId="0" fontId="74" fillId="42" borderId="23" xfId="0" applyFont="1" applyFill="1" applyBorder="1" applyAlignment="1">
      <alignment horizontal="center"/>
    </xf>
    <xf numFmtId="0" fontId="74" fillId="43" borderId="0" xfId="0" applyFont="1" applyFill="1" applyAlignment="1">
      <alignment/>
    </xf>
    <xf numFmtId="0" fontId="74" fillId="0" borderId="0" xfId="0" applyFont="1" applyFill="1" applyAlignment="1">
      <alignment vertical="top" wrapText="1"/>
    </xf>
    <xf numFmtId="167" fontId="74" fillId="42" borderId="0" xfId="0" applyNumberFormat="1" applyFont="1" applyFill="1" applyAlignment="1">
      <alignment/>
    </xf>
    <xf numFmtId="0" fontId="74" fillId="42" borderId="0" xfId="0" applyFont="1" applyFill="1" applyAlignment="1">
      <alignment horizontal="left"/>
    </xf>
    <xf numFmtId="0" fontId="74" fillId="42" borderId="16" xfId="0" applyFont="1" applyFill="1" applyBorder="1" applyAlignment="1">
      <alignment horizontal="right"/>
    </xf>
    <xf numFmtId="166" fontId="74" fillId="42" borderId="17" xfId="0" applyNumberFormat="1" applyFont="1" applyFill="1" applyBorder="1" applyAlignment="1">
      <alignment/>
    </xf>
    <xf numFmtId="0" fontId="74" fillId="42" borderId="18" xfId="0" applyFont="1" applyFill="1" applyBorder="1" applyAlignment="1">
      <alignment horizontal="right"/>
    </xf>
    <xf numFmtId="0" fontId="74" fillId="42" borderId="21" xfId="0" applyFont="1" applyFill="1" applyBorder="1" applyAlignment="1">
      <alignment horizontal="right"/>
    </xf>
    <xf numFmtId="166" fontId="74" fillId="42" borderId="22" xfId="0" applyNumberFormat="1" applyFont="1" applyFill="1" applyBorder="1" applyAlignment="1">
      <alignment/>
    </xf>
    <xf numFmtId="167" fontId="74" fillId="42" borderId="17" xfId="0" applyNumberFormat="1" applyFont="1" applyFill="1" applyBorder="1" applyAlignment="1">
      <alignment/>
    </xf>
    <xf numFmtId="167" fontId="74" fillId="42" borderId="22" xfId="0" applyNumberFormat="1" applyFont="1" applyFill="1" applyBorder="1" applyAlignment="1">
      <alignment/>
    </xf>
    <xf numFmtId="164" fontId="74" fillId="42" borderId="0" xfId="0" applyNumberFormat="1" applyFont="1" applyFill="1" applyAlignment="1">
      <alignment/>
    </xf>
    <xf numFmtId="168" fontId="74" fillId="42" borderId="17" xfId="0" applyNumberFormat="1" applyFont="1" applyFill="1" applyBorder="1" applyAlignment="1">
      <alignment/>
    </xf>
    <xf numFmtId="168" fontId="74" fillId="42" borderId="0" xfId="0" applyNumberFormat="1" applyFont="1" applyFill="1" applyAlignment="1">
      <alignment/>
    </xf>
    <xf numFmtId="168" fontId="74" fillId="42" borderId="22" xfId="0" applyNumberFormat="1" applyFont="1" applyFill="1" applyBorder="1" applyAlignment="1">
      <alignment/>
    </xf>
    <xf numFmtId="165" fontId="74" fillId="42" borderId="22" xfId="42" applyFont="1" applyFill="1" applyBorder="1" applyAlignment="1">
      <alignment/>
    </xf>
    <xf numFmtId="0" fontId="79" fillId="43" borderId="22" xfId="0" applyFont="1" applyFill="1" applyBorder="1" applyAlignment="1">
      <alignment horizontal="center"/>
    </xf>
    <xf numFmtId="0" fontId="79" fillId="44" borderId="17" xfId="0" applyFont="1" applyFill="1" applyBorder="1" applyAlignment="1">
      <alignment/>
    </xf>
    <xf numFmtId="0" fontId="74" fillId="44" borderId="17" xfId="0" applyFont="1" applyFill="1" applyBorder="1" applyAlignment="1">
      <alignment/>
    </xf>
    <xf numFmtId="0" fontId="79" fillId="44" borderId="0" xfId="0" applyFont="1" applyFill="1" applyAlignment="1">
      <alignment/>
    </xf>
    <xf numFmtId="0" fontId="74" fillId="44" borderId="0" xfId="0" applyFont="1" applyFill="1" applyAlignment="1">
      <alignment/>
    </xf>
    <xf numFmtId="0" fontId="79" fillId="44" borderId="22" xfId="0" applyFont="1" applyFill="1" applyBorder="1" applyAlignment="1">
      <alignment/>
    </xf>
    <xf numFmtId="0" fontId="74" fillId="44" borderId="22" xfId="0" applyFont="1" applyFill="1" applyBorder="1" applyAlignment="1">
      <alignment/>
    </xf>
    <xf numFmtId="0" fontId="79" fillId="0" borderId="0" xfId="0" applyFont="1" applyFill="1" applyAlignment="1">
      <alignment/>
    </xf>
    <xf numFmtId="0" fontId="79" fillId="44" borderId="0" xfId="0" applyFont="1" applyFill="1" applyAlignment="1">
      <alignment horizontal="center"/>
    </xf>
    <xf numFmtId="9" fontId="79" fillId="44" borderId="0" xfId="0" applyNumberFormat="1" applyFont="1" applyFill="1" applyAlignment="1">
      <alignment/>
    </xf>
    <xf numFmtId="166" fontId="79" fillId="44" borderId="0" xfId="0" applyNumberFormat="1" applyFont="1" applyFill="1" applyAlignment="1">
      <alignment/>
    </xf>
    <xf numFmtId="9" fontId="74" fillId="44" borderId="0" xfId="0" applyNumberFormat="1" applyFont="1" applyFill="1" applyAlignment="1">
      <alignment/>
    </xf>
    <xf numFmtId="166" fontId="74" fillId="44" borderId="0" xfId="0" applyNumberFormat="1" applyFont="1" applyFill="1" applyAlignment="1">
      <alignment/>
    </xf>
    <xf numFmtId="9" fontId="74" fillId="44" borderId="22" xfId="0" applyNumberFormat="1" applyFont="1" applyFill="1" applyBorder="1" applyAlignment="1">
      <alignment/>
    </xf>
    <xf numFmtId="166" fontId="74" fillId="44" borderId="22" xfId="0" applyNumberFormat="1" applyFont="1" applyFill="1" applyBorder="1" applyAlignment="1">
      <alignment/>
    </xf>
    <xf numFmtId="0" fontId="79" fillId="0" borderId="0" xfId="0" applyFont="1" applyAlignment="1">
      <alignment/>
    </xf>
    <xf numFmtId="0" fontId="84" fillId="0" borderId="0" xfId="0" applyFont="1" applyAlignment="1">
      <alignment/>
    </xf>
    <xf numFmtId="0" fontId="79" fillId="45" borderId="23" xfId="0" applyFont="1" applyFill="1" applyBorder="1" applyAlignment="1">
      <alignment/>
    </xf>
    <xf numFmtId="0" fontId="74" fillId="45" borderId="23" xfId="0" applyFont="1" applyFill="1" applyBorder="1" applyAlignment="1">
      <alignment/>
    </xf>
    <xf numFmtId="0" fontId="74" fillId="45" borderId="0" xfId="0" applyFont="1" applyFill="1" applyAlignment="1">
      <alignment/>
    </xf>
    <xf numFmtId="0" fontId="79" fillId="45" borderId="0" xfId="0" applyFont="1" applyFill="1" applyAlignment="1">
      <alignment/>
    </xf>
    <xf numFmtId="2" fontId="74" fillId="45" borderId="0" xfId="0" applyNumberFormat="1" applyFont="1" applyFill="1" applyAlignment="1">
      <alignment/>
    </xf>
    <xf numFmtId="0" fontId="74" fillId="45" borderId="16" xfId="0" applyFont="1" applyFill="1" applyBorder="1" applyAlignment="1">
      <alignment/>
    </xf>
    <xf numFmtId="0" fontId="74" fillId="45" borderId="17" xfId="0" applyFont="1" applyFill="1" applyBorder="1" applyAlignment="1">
      <alignment/>
    </xf>
    <xf numFmtId="0" fontId="74" fillId="45" borderId="13" xfId="0" applyFont="1" applyFill="1" applyBorder="1" applyAlignment="1">
      <alignment/>
    </xf>
    <xf numFmtId="0" fontId="74" fillId="45" borderId="18" xfId="0" applyFont="1" applyFill="1" applyBorder="1" applyAlignment="1">
      <alignment/>
    </xf>
    <xf numFmtId="0" fontId="74" fillId="45" borderId="0" xfId="0" applyFont="1" applyFill="1" applyAlignment="1">
      <alignment horizontal="right"/>
    </xf>
    <xf numFmtId="0" fontId="74" fillId="45" borderId="19" xfId="0" applyFont="1" applyFill="1" applyBorder="1" applyAlignment="1">
      <alignment horizontal="right"/>
    </xf>
    <xf numFmtId="0" fontId="74" fillId="45" borderId="21" xfId="0" applyFont="1" applyFill="1" applyBorder="1" applyAlignment="1">
      <alignment/>
    </xf>
    <xf numFmtId="0" fontId="74" fillId="45" borderId="22" xfId="0" applyFont="1" applyFill="1" applyBorder="1" applyAlignment="1">
      <alignment horizontal="right"/>
    </xf>
    <xf numFmtId="0" fontId="74" fillId="45" borderId="15" xfId="0" applyFont="1" applyFill="1" applyBorder="1" applyAlignment="1">
      <alignment horizontal="right"/>
    </xf>
    <xf numFmtId="172" fontId="74" fillId="45" borderId="0" xfId="0" applyNumberFormat="1" applyFont="1" applyFill="1" applyAlignment="1">
      <alignment/>
    </xf>
    <xf numFmtId="0" fontId="79" fillId="0" borderId="0" xfId="0" applyFont="1" applyAlignment="1">
      <alignment horizontal="right"/>
    </xf>
    <xf numFmtId="172" fontId="79" fillId="45" borderId="0" xfId="0" applyNumberFormat="1" applyFont="1" applyFill="1" applyAlignment="1">
      <alignment/>
    </xf>
    <xf numFmtId="0" fontId="79" fillId="45" borderId="0" xfId="0" applyFont="1" applyFill="1" applyAlignment="1">
      <alignment vertical="top" wrapText="1"/>
    </xf>
    <xf numFmtId="0" fontId="79" fillId="45" borderId="21" xfId="0" applyFont="1" applyFill="1" applyBorder="1" applyAlignment="1">
      <alignment/>
    </xf>
    <xf numFmtId="0" fontId="79" fillId="45" borderId="22" xfId="0" applyFont="1" applyFill="1" applyBorder="1" applyAlignment="1">
      <alignment/>
    </xf>
    <xf numFmtId="0" fontId="79" fillId="45" borderId="15" xfId="0" applyFont="1" applyFill="1" applyBorder="1" applyAlignment="1">
      <alignment/>
    </xf>
    <xf numFmtId="0" fontId="74" fillId="45" borderId="18" xfId="0" applyFont="1" applyFill="1" applyBorder="1" applyAlignment="1">
      <alignment horizontal="right" vertical="top" wrapText="1"/>
    </xf>
    <xf numFmtId="0" fontId="74" fillId="45" borderId="0" xfId="0" applyFont="1" applyFill="1" applyAlignment="1">
      <alignment horizontal="right" vertical="top" wrapText="1"/>
    </xf>
    <xf numFmtId="0" fontId="74" fillId="45" borderId="19" xfId="0" applyFont="1" applyFill="1" applyBorder="1" applyAlignment="1">
      <alignment horizontal="right" vertical="top" wrapText="1"/>
    </xf>
    <xf numFmtId="0" fontId="74" fillId="45" borderId="0" xfId="0" applyFont="1" applyFill="1" applyAlignment="1">
      <alignment vertical="top" wrapText="1"/>
    </xf>
    <xf numFmtId="0" fontId="74" fillId="45" borderId="19" xfId="0" applyFont="1" applyFill="1" applyBorder="1" applyAlignment="1">
      <alignment vertical="top" wrapText="1"/>
    </xf>
    <xf numFmtId="0" fontId="74" fillId="45" borderId="21" xfId="0" applyFont="1" applyFill="1" applyBorder="1" applyAlignment="1">
      <alignment horizontal="right" vertical="top" wrapText="1"/>
    </xf>
    <xf numFmtId="0" fontId="74" fillId="45" borderId="22" xfId="0" applyFont="1" applyFill="1" applyBorder="1" applyAlignment="1">
      <alignment/>
    </xf>
    <xf numFmtId="0" fontId="74" fillId="45" borderId="22" xfId="0" applyFont="1" applyFill="1" applyBorder="1" applyAlignment="1">
      <alignment vertical="top" wrapText="1"/>
    </xf>
    <xf numFmtId="0" fontId="74" fillId="45" borderId="15" xfId="0" applyFont="1" applyFill="1" applyBorder="1" applyAlignment="1">
      <alignment vertical="top" wrapText="1"/>
    </xf>
    <xf numFmtId="0" fontId="77" fillId="34" borderId="26" xfId="0" applyFont="1" applyFill="1" applyBorder="1" applyAlignment="1">
      <alignment/>
    </xf>
    <xf numFmtId="0" fontId="77" fillId="34" borderId="27" xfId="0" applyFont="1" applyFill="1" applyBorder="1" applyAlignment="1">
      <alignment/>
    </xf>
    <xf numFmtId="0" fontId="77" fillId="34" borderId="28" xfId="0" applyFont="1" applyFill="1" applyBorder="1" applyAlignment="1">
      <alignment/>
    </xf>
    <xf numFmtId="0" fontId="77" fillId="34" borderId="29" xfId="0" applyFont="1" applyFill="1" applyBorder="1" applyAlignment="1">
      <alignment/>
    </xf>
    <xf numFmtId="0" fontId="77" fillId="34" borderId="30" xfId="0" applyFont="1" applyFill="1" applyBorder="1" applyAlignment="1">
      <alignment/>
    </xf>
    <xf numFmtId="164" fontId="74" fillId="46" borderId="0" xfId="0" applyNumberFormat="1" applyFont="1" applyFill="1" applyAlignment="1">
      <alignment vertical="top" wrapText="1"/>
    </xf>
    <xf numFmtId="166" fontId="74" fillId="46" borderId="0" xfId="0" applyNumberFormat="1" applyFont="1" applyFill="1" applyAlignment="1">
      <alignment/>
    </xf>
    <xf numFmtId="0" fontId="74" fillId="46" borderId="0" xfId="0" applyFont="1" applyFill="1" applyAlignment="1">
      <alignment horizontal="right"/>
    </xf>
    <xf numFmtId="164" fontId="74" fillId="46" borderId="0" xfId="0" applyNumberFormat="1" applyFont="1" applyFill="1" applyAlignment="1">
      <alignment/>
    </xf>
    <xf numFmtId="2" fontId="74" fillId="46" borderId="0" xfId="0" applyNumberFormat="1" applyFont="1" applyFill="1" applyAlignment="1">
      <alignment/>
    </xf>
    <xf numFmtId="0" fontId="74" fillId="46" borderId="0" xfId="0" applyFont="1" applyFill="1" applyAlignment="1">
      <alignment/>
    </xf>
    <xf numFmtId="0" fontId="74" fillId="46" borderId="0" xfId="0" applyFont="1" applyFill="1" applyAlignment="1">
      <alignment/>
    </xf>
    <xf numFmtId="0" fontId="74" fillId="46" borderId="0" xfId="0" applyFont="1" applyFill="1" applyAlignment="1">
      <alignment vertical="top" wrapText="1"/>
    </xf>
    <xf numFmtId="0" fontId="75" fillId="33" borderId="31" xfId="0" applyFont="1" applyFill="1" applyBorder="1" applyAlignment="1">
      <alignment horizontal="center"/>
    </xf>
    <xf numFmtId="0" fontId="74" fillId="11" borderId="0" xfId="0" applyFont="1" applyFill="1" applyAlignment="1">
      <alignment/>
    </xf>
    <xf numFmtId="0" fontId="74" fillId="34" borderId="0" xfId="0" applyFont="1" applyFill="1" applyBorder="1" applyAlignment="1">
      <alignment/>
    </xf>
    <xf numFmtId="0" fontId="74" fillId="11" borderId="0" xfId="0" applyFont="1" applyFill="1" applyBorder="1" applyAlignment="1">
      <alignment/>
    </xf>
    <xf numFmtId="0" fontId="79" fillId="34" borderId="26" xfId="0" applyFont="1" applyFill="1" applyBorder="1" applyAlignment="1">
      <alignment/>
    </xf>
    <xf numFmtId="0" fontId="77" fillId="0" borderId="32" xfId="0" applyFont="1" applyFill="1" applyBorder="1" applyAlignment="1" applyProtection="1">
      <alignment/>
      <protection locked="0"/>
    </xf>
    <xf numFmtId="0" fontId="74" fillId="47" borderId="32" xfId="0" applyFont="1" applyFill="1" applyBorder="1" applyAlignment="1">
      <alignment/>
    </xf>
    <xf numFmtId="0" fontId="74" fillId="34" borderId="32" xfId="0" applyFont="1" applyFill="1" applyBorder="1" applyAlignment="1">
      <alignment/>
    </xf>
    <xf numFmtId="0" fontId="79" fillId="34" borderId="29" xfId="0" applyFont="1" applyFill="1" applyBorder="1" applyAlignment="1">
      <alignment/>
    </xf>
    <xf numFmtId="0" fontId="77" fillId="0" borderId="33" xfId="0" applyFont="1" applyFill="1" applyBorder="1" applyAlignment="1" applyProtection="1">
      <alignment/>
      <protection locked="0"/>
    </xf>
    <xf numFmtId="0" fontId="74" fillId="11" borderId="33" xfId="0" applyFont="1" applyFill="1" applyBorder="1" applyAlignment="1">
      <alignment/>
    </xf>
    <xf numFmtId="0" fontId="74" fillId="34" borderId="33" xfId="0" applyFont="1" applyFill="1" applyBorder="1" applyAlignment="1">
      <alignment/>
    </xf>
    <xf numFmtId="0" fontId="78" fillId="34" borderId="0" xfId="0" applyFont="1" applyFill="1" applyBorder="1" applyAlignment="1">
      <alignment/>
    </xf>
    <xf numFmtId="0" fontId="74" fillId="0" borderId="0" xfId="0" applyFont="1" applyFill="1" applyBorder="1" applyAlignment="1">
      <alignment/>
    </xf>
    <xf numFmtId="0" fontId="77" fillId="47" borderId="28" xfId="0" applyFont="1" applyFill="1" applyBorder="1" applyAlignment="1">
      <alignment/>
    </xf>
    <xf numFmtId="0" fontId="77" fillId="47" borderId="0" xfId="0" applyFont="1" applyFill="1" applyBorder="1" applyAlignment="1" applyProtection="1">
      <alignment/>
      <protection locked="0"/>
    </xf>
    <xf numFmtId="0" fontId="77" fillId="47" borderId="0" xfId="0" applyFont="1" applyFill="1" applyBorder="1" applyAlignment="1">
      <alignment/>
    </xf>
    <xf numFmtId="0" fontId="77" fillId="0" borderId="0" xfId="0" applyFont="1" applyFill="1" applyBorder="1" applyAlignment="1">
      <alignment/>
    </xf>
    <xf numFmtId="0" fontId="77" fillId="47" borderId="34" xfId="0" applyFont="1" applyFill="1" applyBorder="1" applyAlignment="1">
      <alignment horizontal="right"/>
    </xf>
    <xf numFmtId="0" fontId="77" fillId="11" borderId="0" xfId="0" applyFont="1" applyFill="1" applyBorder="1" applyAlignment="1">
      <alignment/>
    </xf>
    <xf numFmtId="0" fontId="77" fillId="47" borderId="34" xfId="0" applyFont="1" applyFill="1" applyBorder="1" applyAlignment="1">
      <alignment/>
    </xf>
    <xf numFmtId="0" fontId="77" fillId="47" borderId="29" xfId="0" applyFont="1" applyFill="1" applyBorder="1" applyAlignment="1">
      <alignment/>
    </xf>
    <xf numFmtId="0" fontId="77" fillId="47" borderId="33" xfId="0" applyFont="1" applyFill="1" applyBorder="1" applyAlignment="1" applyProtection="1">
      <alignment/>
      <protection locked="0"/>
    </xf>
    <xf numFmtId="0" fontId="77" fillId="47" borderId="33" xfId="0" applyFont="1" applyFill="1" applyBorder="1" applyAlignment="1">
      <alignment/>
    </xf>
    <xf numFmtId="0" fontId="77" fillId="47" borderId="26" xfId="0" applyFont="1" applyFill="1" applyBorder="1" applyAlignment="1">
      <alignment/>
    </xf>
    <xf numFmtId="0" fontId="77" fillId="47" borderId="32" xfId="0" applyFont="1" applyFill="1" applyBorder="1" applyAlignment="1" applyProtection="1">
      <alignment/>
      <protection locked="0"/>
    </xf>
    <xf numFmtId="0" fontId="77" fillId="47" borderId="32" xfId="0" applyFont="1" applyFill="1" applyBorder="1" applyAlignment="1">
      <alignment/>
    </xf>
    <xf numFmtId="0" fontId="77" fillId="47" borderId="27" xfId="0" applyFont="1" applyFill="1" applyBorder="1" applyAlignment="1">
      <alignment horizontal="right"/>
    </xf>
    <xf numFmtId="0" fontId="77" fillId="47" borderId="30" xfId="0" applyFont="1" applyFill="1" applyBorder="1" applyAlignment="1">
      <alignment horizontal="right"/>
    </xf>
    <xf numFmtId="0" fontId="77" fillId="47" borderId="26" xfId="0" applyFont="1" applyFill="1" applyBorder="1" applyAlignment="1">
      <alignment horizontal="left"/>
    </xf>
    <xf numFmtId="0" fontId="77" fillId="47" borderId="27" xfId="0" applyFont="1" applyFill="1" applyBorder="1" applyAlignment="1">
      <alignment/>
    </xf>
    <xf numFmtId="165" fontId="78" fillId="34" borderId="35" xfId="0" applyNumberFormat="1" applyFont="1" applyFill="1" applyBorder="1" applyAlignment="1">
      <alignment/>
    </xf>
    <xf numFmtId="176" fontId="77" fillId="34" borderId="34" xfId="0" applyNumberFormat="1" applyFont="1" applyFill="1" applyBorder="1" applyAlignment="1">
      <alignment/>
    </xf>
    <xf numFmtId="176" fontId="77" fillId="34" borderId="30" xfId="0" applyNumberFormat="1" applyFont="1" applyFill="1" applyBorder="1" applyAlignment="1">
      <alignment/>
    </xf>
    <xf numFmtId="0" fontId="78" fillId="34" borderId="36" xfId="0" applyFont="1" applyFill="1" applyBorder="1" applyAlignment="1">
      <alignment horizontal="right"/>
    </xf>
    <xf numFmtId="0" fontId="77" fillId="34" borderId="0" xfId="0" applyFont="1" applyFill="1" applyBorder="1" applyAlignment="1">
      <alignment horizontal="right"/>
    </xf>
    <xf numFmtId="0" fontId="77" fillId="34" borderId="33" xfId="0" applyFont="1" applyFill="1" applyBorder="1" applyAlignment="1">
      <alignment horizontal="right"/>
    </xf>
    <xf numFmtId="0" fontId="78" fillId="34" borderId="37" xfId="0" applyFont="1" applyFill="1" applyBorder="1" applyAlignment="1">
      <alignment/>
    </xf>
    <xf numFmtId="3" fontId="77" fillId="34" borderId="34" xfId="42" applyNumberFormat="1" applyFont="1" applyFill="1" applyBorder="1" applyAlignment="1">
      <alignment/>
    </xf>
    <xf numFmtId="3" fontId="78" fillId="34" borderId="34" xfId="42" applyNumberFormat="1" applyFont="1" applyFill="1" applyBorder="1" applyAlignment="1">
      <alignment/>
    </xf>
    <xf numFmtId="4" fontId="78" fillId="34" borderId="34" xfId="42" applyNumberFormat="1" applyFont="1" applyFill="1" applyBorder="1" applyAlignment="1">
      <alignment/>
    </xf>
    <xf numFmtId="0" fontId="78" fillId="34" borderId="28" xfId="0" applyFont="1" applyFill="1" applyBorder="1" applyAlignment="1">
      <alignment/>
    </xf>
    <xf numFmtId="3" fontId="78" fillId="34" borderId="30" xfId="42" applyNumberFormat="1" applyFont="1" applyFill="1" applyBorder="1" applyAlignment="1">
      <alignment/>
    </xf>
    <xf numFmtId="3" fontId="77" fillId="34" borderId="27" xfId="42" applyNumberFormat="1" applyFont="1" applyFill="1" applyBorder="1" applyAlignment="1">
      <alignment/>
    </xf>
    <xf numFmtId="3" fontId="77" fillId="34" borderId="30" xfId="42" applyNumberFormat="1" applyFont="1" applyFill="1" applyBorder="1" applyAlignment="1">
      <alignment/>
    </xf>
    <xf numFmtId="0" fontId="77" fillId="47" borderId="38" xfId="0" applyFont="1" applyFill="1" applyBorder="1" applyAlignment="1">
      <alignment/>
    </xf>
    <xf numFmtId="0" fontId="77" fillId="47" borderId="39" xfId="0" applyFont="1" applyFill="1" applyBorder="1" applyAlignment="1">
      <alignment/>
    </xf>
    <xf numFmtId="0" fontId="78" fillId="47" borderId="32" xfId="0" applyFont="1" applyFill="1" applyBorder="1" applyAlignment="1">
      <alignment wrapText="1"/>
    </xf>
    <xf numFmtId="0" fontId="78" fillId="47" borderId="32" xfId="0" applyFont="1" applyFill="1" applyBorder="1" applyAlignment="1">
      <alignment horizontal="left"/>
    </xf>
    <xf numFmtId="0" fontId="78" fillId="47" borderId="27" xfId="0" applyFont="1" applyFill="1" applyBorder="1" applyAlignment="1">
      <alignment wrapText="1"/>
    </xf>
    <xf numFmtId="0" fontId="77" fillId="47" borderId="0" xfId="0" applyFont="1" applyFill="1" applyBorder="1" applyAlignment="1" applyProtection="1">
      <alignment/>
      <protection/>
    </xf>
    <xf numFmtId="0" fontId="77" fillId="47" borderId="34" xfId="0" applyFont="1" applyFill="1" applyBorder="1" applyAlignment="1" applyProtection="1">
      <alignment horizontal="right"/>
      <protection/>
    </xf>
    <xf numFmtId="0" fontId="77" fillId="47" borderId="0" xfId="0" applyFont="1" applyFill="1" applyBorder="1" applyAlignment="1" applyProtection="1">
      <alignment horizontal="right" vertical="top" wrapText="1"/>
      <protection/>
    </xf>
    <xf numFmtId="0" fontId="77" fillId="47" borderId="34" xfId="0" applyFont="1" applyFill="1" applyBorder="1" applyAlignment="1" applyProtection="1">
      <alignment horizontal="right" vertical="top" wrapText="1"/>
      <protection/>
    </xf>
    <xf numFmtId="164" fontId="77" fillId="47" borderId="0" xfId="0" applyNumberFormat="1" applyFont="1" applyFill="1" applyBorder="1" applyAlignment="1" applyProtection="1">
      <alignment horizontal="right" vertical="top" wrapText="1"/>
      <protection/>
    </xf>
    <xf numFmtId="164" fontId="77" fillId="47" borderId="34" xfId="0" applyNumberFormat="1" applyFont="1" applyFill="1" applyBorder="1" applyAlignment="1" applyProtection="1">
      <alignment horizontal="right" vertical="top" wrapText="1"/>
      <protection/>
    </xf>
    <xf numFmtId="2" fontId="77" fillId="47" borderId="0" xfId="0" applyNumberFormat="1" applyFont="1" applyFill="1" applyBorder="1" applyAlignment="1" applyProtection="1">
      <alignment horizontal="right" vertical="top" wrapText="1"/>
      <protection/>
    </xf>
    <xf numFmtId="2" fontId="77" fillId="47" borderId="34" xfId="0" applyNumberFormat="1" applyFont="1" applyFill="1" applyBorder="1" applyAlignment="1" applyProtection="1">
      <alignment horizontal="right" vertical="top" wrapText="1"/>
      <protection/>
    </xf>
    <xf numFmtId="0" fontId="77" fillId="47" borderId="30" xfId="0" applyFont="1" applyFill="1" applyBorder="1" applyAlignment="1">
      <alignment/>
    </xf>
    <xf numFmtId="165" fontId="77" fillId="47" borderId="34" xfId="0" applyNumberFormat="1" applyFont="1" applyFill="1" applyBorder="1" applyAlignment="1">
      <alignment horizontal="right"/>
    </xf>
    <xf numFmtId="166" fontId="77" fillId="47" borderId="33" xfId="0" applyNumberFormat="1" applyFont="1" applyFill="1" applyBorder="1" applyAlignment="1" applyProtection="1">
      <alignment/>
      <protection locked="0"/>
    </xf>
    <xf numFmtId="0" fontId="82" fillId="47" borderId="33" xfId="0" applyFont="1" applyFill="1" applyBorder="1" applyAlignment="1">
      <alignment/>
    </xf>
    <xf numFmtId="0" fontId="77" fillId="11" borderId="40" xfId="0" applyFont="1" applyFill="1" applyBorder="1" applyAlignment="1">
      <alignment/>
    </xf>
    <xf numFmtId="0" fontId="77" fillId="11" borderId="38" xfId="0" applyFont="1" applyFill="1" applyBorder="1" applyAlignment="1">
      <alignment/>
    </xf>
    <xf numFmtId="0" fontId="77" fillId="11" borderId="39" xfId="0" applyFont="1" applyFill="1" applyBorder="1" applyAlignment="1">
      <alignment/>
    </xf>
    <xf numFmtId="0" fontId="85" fillId="11" borderId="38" xfId="0" applyFont="1" applyFill="1" applyBorder="1" applyAlignment="1">
      <alignment/>
    </xf>
    <xf numFmtId="0" fontId="85" fillId="47" borderId="32" xfId="0" applyFont="1" applyFill="1" applyBorder="1" applyAlignment="1" applyProtection="1">
      <alignment/>
      <protection locked="0"/>
    </xf>
    <xf numFmtId="0" fontId="85" fillId="47" borderId="0" xfId="0" applyFont="1" applyFill="1" applyBorder="1" applyAlignment="1" applyProtection="1">
      <alignment/>
      <protection locked="0"/>
    </xf>
    <xf numFmtId="0" fontId="85" fillId="47" borderId="33" xfId="0" applyFont="1" applyFill="1" applyBorder="1" applyAlignment="1" applyProtection="1">
      <alignment/>
      <protection locked="0"/>
    </xf>
    <xf numFmtId="0" fontId="78" fillId="47" borderId="40" xfId="0" applyFont="1" applyFill="1" applyBorder="1" applyAlignment="1">
      <alignment/>
    </xf>
    <xf numFmtId="0" fontId="74" fillId="0" borderId="0" xfId="0" applyFont="1" applyFill="1" applyBorder="1" applyAlignment="1" applyProtection="1">
      <alignment/>
      <protection locked="0"/>
    </xf>
    <xf numFmtId="0" fontId="74" fillId="0" borderId="32" xfId="0" applyFont="1" applyFill="1" applyBorder="1" applyAlignment="1" applyProtection="1">
      <alignment/>
      <protection locked="0"/>
    </xf>
    <xf numFmtId="0" fontId="74" fillId="34" borderId="27" xfId="0" applyFont="1" applyFill="1" applyBorder="1" applyAlignment="1">
      <alignment horizontal="right"/>
    </xf>
    <xf numFmtId="0" fontId="74" fillId="34" borderId="28" xfId="0" applyFont="1" applyFill="1" applyBorder="1" applyAlignment="1">
      <alignment/>
    </xf>
    <xf numFmtId="0" fontId="74" fillId="34" borderId="34" xfId="0" applyFont="1" applyFill="1" applyBorder="1" applyAlignment="1">
      <alignment horizontal="right"/>
    </xf>
    <xf numFmtId="0" fontId="74" fillId="34" borderId="29" xfId="0" applyFont="1" applyFill="1" applyBorder="1" applyAlignment="1">
      <alignment/>
    </xf>
    <xf numFmtId="0" fontId="74" fillId="34" borderId="30" xfId="0" applyFont="1" applyFill="1" applyBorder="1" applyAlignment="1">
      <alignment horizontal="right"/>
    </xf>
    <xf numFmtId="1" fontId="14" fillId="3" borderId="0" xfId="0" applyNumberFormat="1" applyFont="1" applyFill="1" applyBorder="1" applyAlignment="1">
      <alignment/>
    </xf>
    <xf numFmtId="0" fontId="74" fillId="34" borderId="27" xfId="0" applyFont="1" applyFill="1" applyBorder="1" applyAlignment="1">
      <alignment/>
    </xf>
    <xf numFmtId="0" fontId="79" fillId="34" borderId="28" xfId="0" applyFont="1" applyFill="1" applyBorder="1" applyAlignment="1">
      <alignment/>
    </xf>
    <xf numFmtId="0" fontId="74" fillId="34" borderId="34" xfId="0" applyFont="1" applyFill="1" applyBorder="1" applyAlignment="1">
      <alignment/>
    </xf>
    <xf numFmtId="0" fontId="74" fillId="34" borderId="30" xfId="0" applyFont="1" applyFill="1" applyBorder="1" applyAlignment="1">
      <alignment/>
    </xf>
    <xf numFmtId="0" fontId="74" fillId="40" borderId="28" xfId="0" applyFont="1" applyFill="1" applyBorder="1" applyAlignment="1">
      <alignment/>
    </xf>
    <xf numFmtId="0" fontId="74" fillId="40" borderId="0" xfId="0" applyFont="1" applyFill="1" applyBorder="1" applyAlignment="1">
      <alignment/>
    </xf>
    <xf numFmtId="0" fontId="74" fillId="40" borderId="34" xfId="0" applyFont="1" applyFill="1" applyBorder="1" applyAlignment="1">
      <alignment/>
    </xf>
    <xf numFmtId="0" fontId="79" fillId="40" borderId="41" xfId="0" applyFont="1" applyFill="1" applyBorder="1" applyAlignment="1">
      <alignment/>
    </xf>
    <xf numFmtId="0" fontId="79" fillId="40" borderId="42" xfId="0" applyFont="1" applyFill="1" applyBorder="1" applyAlignment="1">
      <alignment/>
    </xf>
    <xf numFmtId="0" fontId="79" fillId="40" borderId="43" xfId="0" applyFont="1" applyFill="1" applyBorder="1" applyAlignment="1">
      <alignment/>
    </xf>
    <xf numFmtId="0" fontId="74" fillId="48" borderId="40" xfId="0" applyFont="1" applyFill="1" applyBorder="1" applyAlignment="1">
      <alignment/>
    </xf>
    <xf numFmtId="0" fontId="74" fillId="3" borderId="38" xfId="0" applyFont="1" applyFill="1" applyBorder="1" applyAlignment="1">
      <alignment/>
    </xf>
    <xf numFmtId="0" fontId="74" fillId="48" borderId="38" xfId="0" applyFont="1" applyFill="1" applyBorder="1" applyAlignment="1">
      <alignment/>
    </xf>
    <xf numFmtId="0" fontId="74" fillId="48" borderId="39" xfId="0" applyFont="1" applyFill="1" applyBorder="1" applyAlignment="1">
      <alignment/>
    </xf>
    <xf numFmtId="0" fontId="74" fillId="3" borderId="0" xfId="0" applyFont="1" applyFill="1" applyAlignment="1">
      <alignment/>
    </xf>
    <xf numFmtId="0" fontId="79" fillId="9" borderId="0" xfId="0" applyFont="1" applyFill="1" applyAlignment="1">
      <alignment horizontal="center"/>
    </xf>
    <xf numFmtId="0" fontId="14" fillId="7" borderId="0" xfId="0" applyFont="1" applyFill="1" applyAlignment="1">
      <alignment/>
    </xf>
    <xf numFmtId="172" fontId="14" fillId="7" borderId="0" xfId="0" applyNumberFormat="1" applyFont="1" applyFill="1" applyAlignment="1">
      <alignment/>
    </xf>
    <xf numFmtId="0" fontId="79" fillId="45" borderId="40" xfId="0" applyFont="1" applyFill="1" applyBorder="1" applyAlignment="1">
      <alignment/>
    </xf>
    <xf numFmtId="0" fontId="74" fillId="45" borderId="38" xfId="0" applyFont="1" applyFill="1" applyBorder="1" applyAlignment="1">
      <alignment/>
    </xf>
    <xf numFmtId="0" fontId="74" fillId="45" borderId="39" xfId="0" applyFont="1" applyFill="1" applyBorder="1" applyAlignment="1">
      <alignment/>
    </xf>
    <xf numFmtId="0" fontId="74" fillId="0" borderId="0" xfId="0" applyFont="1" applyFill="1" applyBorder="1" applyAlignment="1">
      <alignment/>
    </xf>
    <xf numFmtId="0" fontId="74" fillId="0" borderId="0" xfId="0" applyFont="1" applyFill="1" applyBorder="1" applyAlignment="1" applyProtection="1">
      <alignment/>
      <protection locked="0"/>
    </xf>
    <xf numFmtId="0" fontId="15" fillId="47" borderId="28" xfId="0" applyFont="1" applyFill="1" applyBorder="1" applyAlignment="1">
      <alignment/>
    </xf>
    <xf numFmtId="2" fontId="15" fillId="47" borderId="0" xfId="0" applyNumberFormat="1" applyFont="1" applyFill="1" applyBorder="1" applyAlignment="1" applyProtection="1">
      <alignment horizontal="right" vertical="top" wrapText="1"/>
      <protection/>
    </xf>
    <xf numFmtId="2" fontId="15" fillId="47" borderId="34" xfId="0" applyNumberFormat="1" applyFont="1" applyFill="1" applyBorder="1" applyAlignment="1" applyProtection="1">
      <alignment horizontal="right" vertical="top" wrapText="1"/>
      <protection/>
    </xf>
    <xf numFmtId="0" fontId="15" fillId="47" borderId="0" xfId="0" applyFont="1" applyFill="1" applyBorder="1" applyAlignment="1" applyProtection="1">
      <alignment horizontal="right" vertical="top" wrapText="1"/>
      <protection/>
    </xf>
    <xf numFmtId="0" fontId="15" fillId="47" borderId="34" xfId="0" applyFont="1" applyFill="1" applyBorder="1" applyAlignment="1" applyProtection="1">
      <alignment horizontal="right" vertical="top" wrapText="1"/>
      <protection/>
    </xf>
    <xf numFmtId="0" fontId="15" fillId="47" borderId="29" xfId="0" applyFont="1" applyFill="1" applyBorder="1" applyAlignment="1">
      <alignment/>
    </xf>
    <xf numFmtId="0" fontId="15" fillId="47" borderId="33" xfId="0" applyFont="1" applyFill="1" applyBorder="1" applyAlignment="1" applyProtection="1">
      <alignment/>
      <protection/>
    </xf>
    <xf numFmtId="0" fontId="15" fillId="47" borderId="30" xfId="0" applyFont="1" applyFill="1" applyBorder="1" applyAlignment="1" applyProtection="1">
      <alignment horizontal="right"/>
      <protection/>
    </xf>
    <xf numFmtId="0" fontId="15" fillId="47" borderId="26" xfId="0" applyFont="1" applyFill="1" applyBorder="1" applyAlignment="1">
      <alignment/>
    </xf>
    <xf numFmtId="0" fontId="15" fillId="47" borderId="32" xfId="0" applyFont="1" applyFill="1" applyBorder="1" applyAlignment="1" applyProtection="1">
      <alignment/>
      <protection locked="0"/>
    </xf>
    <xf numFmtId="166" fontId="15" fillId="47" borderId="32" xfId="0" applyNumberFormat="1" applyFont="1" applyFill="1" applyBorder="1" applyAlignment="1" applyProtection="1">
      <alignment/>
      <protection/>
    </xf>
    <xf numFmtId="0" fontId="15" fillId="47" borderId="27" xfId="0" applyFont="1" applyFill="1" applyBorder="1" applyAlignment="1">
      <alignment horizontal="right"/>
    </xf>
    <xf numFmtId="0" fontId="15" fillId="11" borderId="28" xfId="0" applyFont="1" applyFill="1" applyBorder="1" applyAlignment="1">
      <alignment/>
    </xf>
    <xf numFmtId="0" fontId="15" fillId="11" borderId="0" xfId="0" applyFont="1" applyFill="1" applyBorder="1" applyAlignment="1">
      <alignment/>
    </xf>
    <xf numFmtId="0" fontId="15" fillId="11" borderId="34" xfId="0" applyFont="1" applyFill="1" applyBorder="1" applyAlignment="1">
      <alignment horizontal="right"/>
    </xf>
    <xf numFmtId="166" fontId="74" fillId="0" borderId="17" xfId="0" applyNumberFormat="1" applyFont="1" applyBorder="1" applyAlignment="1" applyProtection="1">
      <alignment/>
      <protection locked="0"/>
    </xf>
    <xf numFmtId="166" fontId="74" fillId="0" borderId="0" xfId="0" applyNumberFormat="1" applyFont="1" applyAlignment="1" applyProtection="1">
      <alignment vertical="top" wrapText="1"/>
      <protection locked="0"/>
    </xf>
    <xf numFmtId="0" fontId="74" fillId="34" borderId="0" xfId="0" applyFont="1" applyFill="1" applyAlignment="1" applyProtection="1">
      <alignment/>
      <protection locked="0"/>
    </xf>
    <xf numFmtId="0" fontId="77" fillId="47" borderId="38" xfId="0" applyFont="1" applyFill="1" applyBorder="1" applyAlignment="1" applyProtection="1">
      <alignment/>
      <protection locked="0"/>
    </xf>
    <xf numFmtId="0" fontId="74" fillId="11" borderId="40" xfId="0" applyFont="1" applyFill="1" applyBorder="1" applyAlignment="1" applyProtection="1">
      <alignment horizontal="center"/>
      <protection locked="0"/>
    </xf>
    <xf numFmtId="0" fontId="74" fillId="11" borderId="39" xfId="0" applyFont="1" applyFill="1" applyBorder="1" applyAlignment="1" applyProtection="1">
      <alignment horizontal="center"/>
      <protection locked="0"/>
    </xf>
    <xf numFmtId="0" fontId="0" fillId="8" borderId="0" xfId="0" applyFill="1" applyAlignment="1">
      <alignment/>
    </xf>
    <xf numFmtId="0" fontId="0" fillId="0" borderId="0" xfId="0" applyAlignment="1">
      <alignment/>
    </xf>
    <xf numFmtId="0" fontId="79" fillId="44" borderId="0" xfId="0" applyFont="1" applyFill="1" applyAlignment="1">
      <alignment horizontal="center"/>
    </xf>
    <xf numFmtId="0" fontId="79" fillId="44" borderId="17"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Graphics"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525"/>
          <c:y val="0.19775"/>
          <c:w val="0.483"/>
          <c:h val="0.62175"/>
        </c:manualLayout>
      </c:layout>
      <c:pieChart>
        <c:varyColors val="1"/>
        <c:ser>
          <c:idx val="0"/>
          <c:order val="0"/>
          <c:spPr>
            <a:solidFill>
              <a:srgbClr val="4F81BD"/>
            </a:solidFill>
            <a:ln w="3175">
              <a:noFill/>
            </a:ln>
          </c:spPr>
          <c:explosion val="12"/>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FF0000"/>
              </a:solidFill>
              <a:ln w="12700">
                <a:solidFill>
                  <a:srgbClr val="000000"/>
                </a:solidFill>
              </a:ln>
            </c:spPr>
          </c:dPt>
          <c:dPt>
            <c:idx val="3"/>
            <c:spPr>
              <a:solidFill>
                <a:srgbClr val="0000FF"/>
              </a:solidFill>
              <a:ln w="12700">
                <a:solidFill>
                  <a:srgbClr val="000000"/>
                </a:solidFill>
              </a:ln>
            </c:spPr>
          </c:dPt>
          <c:dPt>
            <c:idx val="4"/>
            <c:spPr>
              <a:blipFill>
                <a:blip r:embed="rId1"/>
                <a:srcRect/>
                <a:stretch>
                  <a:fillRect/>
                </a:stretch>
              </a:blipFill>
              <a:ln w="12700">
                <a:solidFill>
                  <a:srgbClr val="000000"/>
                </a:solidFill>
              </a:ln>
            </c:spPr>
          </c:dPt>
          <c:dPt>
            <c:idx val="5"/>
            <c:spPr>
              <a:solidFill>
                <a:srgbClr val="9999FF"/>
              </a:solidFill>
              <a:ln w="12700">
                <a:solidFill>
                  <a:srgbClr val="000000"/>
                </a:solidFill>
              </a:ln>
            </c:spPr>
          </c:dPt>
          <c:dLbls>
            <c:dLbl>
              <c:idx val="0"/>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1"/>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dLbl>
              <c:idx val="5"/>
              <c:txPr>
                <a:bodyPr vert="horz" rot="0" anchor="ctr"/>
                <a:lstStyle/>
                <a:p>
                  <a:pPr algn="ctr">
                    <a:defRPr lang="en-US" cap="none" sz="9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'Data summary'!$K$4:$K$9</c:f>
              <c:strCache/>
            </c:strRef>
          </c:cat>
          <c:val>
            <c:numRef>
              <c:f>'Data summary'!$L$4:$L$9</c:f>
              <c:numCache/>
            </c:numRef>
          </c:val>
        </c:ser>
      </c:pieChart>
      <c:spPr>
        <a:noFill/>
        <a:ln>
          <a:noFill/>
        </a:ln>
      </c:spPr>
    </c:plotArea>
    <c:plotVisOnly val="1"/>
    <c:dispBlanksAs val="zero"/>
    <c:showDLblsOverMax val="0"/>
  </c:chart>
  <c:spPr>
    <a:no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75"/>
          <c:y val="0.3185"/>
          <c:w val="0.5715"/>
          <c:h val="0.59925"/>
        </c:manualLayout>
      </c:layout>
      <c:pieChart>
        <c:varyColors val="1"/>
        <c:ser>
          <c:idx val="0"/>
          <c:order val="0"/>
          <c:spPr>
            <a:solidFill>
              <a:srgbClr val="4F81BD"/>
            </a:solidFill>
            <a:ln w="3175">
              <a:noFill/>
            </a:ln>
          </c:spPr>
          <c:explosion val="10"/>
          <c:extLst>
            <c:ext xmlns:c14="http://schemas.microsoft.com/office/drawing/2007/8/2/chart" uri="{6F2FDCE9-48DA-4B69-8628-5D25D57E5C99}">
              <c14:invertSolidFillFmt>
                <c14:spPr>
                  <a:solidFill>
                    <a:srgbClr val="FFFFFF"/>
                  </a:solidFill>
                </c14:spPr>
              </c14:invertSolidFillFmt>
            </c:ext>
          </c:extLst>
          <c:dPt>
            <c:idx val="0"/>
            <c:spPr>
              <a:solidFill>
                <a:srgbClr val="99CC00"/>
              </a:solidFill>
              <a:ln w="12700">
                <a:solidFill>
                  <a:srgbClr val="000000"/>
                </a:solidFill>
              </a:ln>
            </c:spPr>
          </c:dPt>
          <c:dPt>
            <c:idx val="1"/>
            <c:spPr>
              <a:solidFill>
                <a:srgbClr val="FFFF00"/>
              </a:solidFill>
              <a:ln w="12700">
                <a:solidFill>
                  <a:srgbClr val="000000"/>
                </a:solidFill>
              </a:ln>
            </c:spPr>
          </c:dPt>
          <c:dPt>
            <c:idx val="2"/>
            <c:spPr>
              <a:solidFill>
                <a:srgbClr val="33CCCC"/>
              </a:solidFill>
              <a:ln w="12700">
                <a:solidFill>
                  <a:srgbClr val="000000"/>
                </a:solidFill>
              </a:ln>
            </c:spPr>
          </c:dPt>
          <c:dLbls>
            <c:dLbl>
              <c:idx val="0"/>
              <c:txPr>
                <a:bodyPr vert="horz" rot="0" anchor="ctr"/>
                <a:lstStyle/>
                <a:p>
                  <a:pPr algn="ctr">
                    <a:defRPr lang="en-US" cap="none" sz="600" b="0" i="0" u="none" baseline="0">
                      <a:solidFill>
                        <a:srgbClr val="000000"/>
                      </a:solidFil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600" b="0" i="0" u="none" baseline="0">
                    <a:solidFill>
                      <a:srgbClr val="000000"/>
                    </a:solidFill>
                  </a:defRPr>
                </a:pPr>
              </a:p>
            </c:txPr>
            <c:showLegendKey val="0"/>
            <c:showVal val="0"/>
            <c:showBubbleSize val="0"/>
            <c:showCatName val="1"/>
            <c:showSerName val="0"/>
            <c:showLeaderLines val="1"/>
            <c:showPercent val="1"/>
          </c:dLbls>
          <c:cat>
            <c:strRef>
              <c:f>'Data summary'!$M$4:$M$6</c:f>
              <c:strCache/>
            </c:strRef>
          </c:cat>
          <c:val>
            <c:numRef>
              <c:f>'Data summary'!$N$4:$N$6</c:f>
              <c:numCache/>
            </c:numRef>
          </c:val>
        </c:ser>
      </c:pieChart>
      <c:spPr>
        <a:noFill/>
        <a:ln>
          <a:noFill/>
        </a:ln>
      </c:spPr>
    </c:plotArea>
    <c:plotVisOnly val="1"/>
    <c:dispBlanksAs val="zero"/>
    <c:showDLblsOverMax val="0"/>
  </c:chart>
  <c:spPr>
    <a:noFill/>
    <a:ln w="3175">
      <a:noFill/>
    </a:ln>
  </c:spPr>
  <c:txPr>
    <a:bodyPr vert="horz" rot="0"/>
    <a:lstStyle/>
    <a:p>
      <a:pPr>
        <a:defRPr lang="en-US" cap="none" sz="4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40" b="1" i="0" u="none" baseline="0">
                <a:solidFill>
                  <a:srgbClr val="000000"/>
                </a:solidFill>
              </a:rPr>
              <a:t>Carbon sequestration for forests</a:t>
            </a:r>
          </a:p>
        </c:rich>
      </c:tx>
      <c:layout>
        <c:manualLayout>
          <c:xMode val="factor"/>
          <c:yMode val="factor"/>
          <c:x val="0.00225"/>
          <c:y val="-0.01125"/>
        </c:manualLayout>
      </c:layout>
      <c:spPr>
        <a:noFill/>
        <a:ln w="3175">
          <a:noFill/>
        </a:ln>
      </c:spPr>
    </c:title>
    <c:plotArea>
      <c:layout>
        <c:manualLayout>
          <c:xMode val="edge"/>
          <c:yMode val="edge"/>
          <c:x val="0.05875"/>
          <c:y val="0.00925"/>
          <c:w val="0.794"/>
          <c:h val="0.9195"/>
        </c:manualLayout>
      </c:layout>
      <c:lineChart>
        <c:grouping val="standard"/>
        <c:varyColors val="0"/>
        <c:ser>
          <c:idx val="0"/>
          <c:order val="0"/>
          <c:tx>
            <c:strRef>
              <c:f>Trees!$B$4:$B$4</c:f>
              <c:strCache>
                <c:ptCount val="1"/>
                <c:pt idx="0">
                  <c:v>High</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Trees!$C$3:$AG$3</c:f>
              <c:numCache/>
            </c:numRef>
          </c:cat>
          <c:val>
            <c:numRef>
              <c:f>Trees!$C$4:$AG$4</c:f>
              <c:numCache/>
            </c:numRef>
          </c:val>
          <c:smooth val="0"/>
        </c:ser>
        <c:ser>
          <c:idx val="1"/>
          <c:order val="1"/>
          <c:tx>
            <c:strRef>
              <c:f>Trees!$B$5:$B$5</c:f>
              <c:strCache>
                <c:ptCount val="1"/>
                <c:pt idx="0">
                  <c:v>Med-High</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Trees!$C$3:$AG$3</c:f>
              <c:numCache/>
            </c:numRef>
          </c:cat>
          <c:val>
            <c:numRef>
              <c:f>Trees!$C$5:$AG$5</c:f>
              <c:numCache/>
            </c:numRef>
          </c:val>
          <c:smooth val="0"/>
        </c:ser>
        <c:ser>
          <c:idx val="2"/>
          <c:order val="2"/>
          <c:tx>
            <c:strRef>
              <c:f>Trees!$B$6:$B$6</c:f>
              <c:strCache>
                <c:ptCount val="1"/>
                <c:pt idx="0">
                  <c:v>Med</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Trees!$C$3:$AG$3</c:f>
              <c:numCache/>
            </c:numRef>
          </c:cat>
          <c:val>
            <c:numRef>
              <c:f>Trees!$C$6:$AG$6</c:f>
              <c:numCache/>
            </c:numRef>
          </c:val>
          <c:smooth val="0"/>
        </c:ser>
        <c:ser>
          <c:idx val="3"/>
          <c:order val="3"/>
          <c:tx>
            <c:strRef>
              <c:f>Trees!$B$7:$B$7</c:f>
              <c:strCache>
                <c:ptCount val="1"/>
                <c:pt idx="0">
                  <c:v>Med-Low</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numRef>
              <c:f>Trees!$C$3:$AG$3</c:f>
              <c:numCache/>
            </c:numRef>
          </c:cat>
          <c:val>
            <c:numRef>
              <c:f>Trees!$C$7:$AG$7</c:f>
              <c:numCache/>
            </c:numRef>
          </c:val>
          <c:smooth val="0"/>
        </c:ser>
        <c:ser>
          <c:idx val="4"/>
          <c:order val="4"/>
          <c:tx>
            <c:strRef>
              <c:f>Trees!$B$8:$B$8</c:f>
              <c:strCache>
                <c:ptCount val="1"/>
                <c:pt idx="0">
                  <c:v>Low</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numRef>
              <c:f>Trees!$C$3:$AG$3</c:f>
              <c:numCache/>
            </c:numRef>
          </c:cat>
          <c:val>
            <c:numRef>
              <c:f>Trees!$C$8:$AG$8</c:f>
              <c:numCache/>
            </c:numRef>
          </c:val>
          <c:smooth val="0"/>
        </c:ser>
        <c:marker val="1"/>
        <c:axId val="63857688"/>
        <c:axId val="37848281"/>
      </c:lineChart>
      <c:catAx>
        <c:axId val="63857688"/>
        <c:scaling>
          <c:orientation val="minMax"/>
        </c:scaling>
        <c:axPos val="b"/>
        <c:title>
          <c:tx>
            <c:rich>
              <a:bodyPr vert="horz" rot="0" anchor="ctr"/>
              <a:lstStyle/>
              <a:p>
                <a:pPr algn="ctr">
                  <a:defRPr/>
                </a:pPr>
                <a:r>
                  <a:rPr lang="en-US" cap="none" sz="1200" b="1" i="0" u="none" baseline="0">
                    <a:solidFill>
                      <a:srgbClr val="000000"/>
                    </a:solidFill>
                  </a:rPr>
                  <a:t>Years</a:t>
                </a:r>
              </a:p>
            </c:rich>
          </c:tx>
          <c:layout>
            <c:manualLayout>
              <c:xMode val="factor"/>
              <c:yMode val="factor"/>
              <c:x val="-0.006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848281"/>
        <c:crosses val="autoZero"/>
        <c:auto val="1"/>
        <c:lblOffset val="100"/>
        <c:tickLblSkip val="1"/>
        <c:noMultiLvlLbl val="0"/>
      </c:catAx>
      <c:valAx>
        <c:axId val="37848281"/>
        <c:scaling>
          <c:orientation val="minMax"/>
        </c:scaling>
        <c:axPos val="l"/>
        <c:title>
          <c:tx>
            <c:rich>
              <a:bodyPr vert="horz" rot="-5400000" anchor="ctr"/>
              <a:lstStyle/>
              <a:p>
                <a:pPr algn="ctr">
                  <a:defRPr/>
                </a:pPr>
                <a:r>
                  <a:rPr lang="en-US" cap="none" sz="1200" b="1" i="0" u="none" baseline="0">
                    <a:solidFill>
                      <a:srgbClr val="000000"/>
                    </a:solidFill>
                  </a:rPr>
                  <a:t>t CO2-e/ha (Inc. trees &amp; debris)
</a:t>
                </a:r>
              </a:p>
            </c:rich>
          </c:tx>
          <c:layout>
            <c:manualLayout>
              <c:xMode val="factor"/>
              <c:yMode val="factor"/>
              <c:x val="0"/>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857688"/>
        <c:crossesAt val="1"/>
        <c:crossBetween val="between"/>
        <c:dispUnits/>
      </c:valAx>
      <c:spPr>
        <a:solidFill>
          <a:srgbClr val="FFFFFF"/>
        </a:solidFill>
        <a:ln w="3175">
          <a:noFill/>
        </a:ln>
      </c:spPr>
    </c:plotArea>
    <c:legend>
      <c:legendPos val="r"/>
      <c:layout>
        <c:manualLayout>
          <c:xMode val="edge"/>
          <c:yMode val="edge"/>
          <c:x val="0.874"/>
          <c:y val="0.3615"/>
          <c:w val="0.12375"/>
          <c:h val="0.358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8743950</xdr:colOff>
      <xdr:row>1</xdr:row>
      <xdr:rowOff>542925</xdr:rowOff>
    </xdr:from>
    <xdr:to>
      <xdr:col>1</xdr:col>
      <xdr:colOff>9544050</xdr:colOff>
      <xdr:row>1</xdr:row>
      <xdr:rowOff>1333500</xdr:rowOff>
    </xdr:to>
    <xdr:pic>
      <xdr:nvPicPr>
        <xdr:cNvPr id="1" name="Picture 33" descr="MINCMYK"/>
        <xdr:cNvPicPr preferRelativeResize="1">
          <a:picLocks noChangeAspect="1"/>
        </xdr:cNvPicPr>
      </xdr:nvPicPr>
      <xdr:blipFill>
        <a:blip r:embed="rId1"/>
        <a:stretch>
          <a:fillRect/>
        </a:stretch>
      </xdr:blipFill>
      <xdr:spPr>
        <a:xfrm>
          <a:off x="8905875" y="933450"/>
          <a:ext cx="800100" cy="790575"/>
        </a:xfrm>
        <a:prstGeom prst="rect">
          <a:avLst/>
        </a:prstGeom>
        <a:noFill/>
        <a:ln w="9528"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695325</xdr:colOff>
      <xdr:row>14</xdr:row>
      <xdr:rowOff>76200</xdr:rowOff>
    </xdr:from>
    <xdr:ext cx="4400550" cy="3438525"/>
    <xdr:graphicFrame>
      <xdr:nvGraphicFramePr>
        <xdr:cNvPr id="1" name="Chart 13"/>
        <xdr:cNvGraphicFramePr/>
      </xdr:nvGraphicFramePr>
      <xdr:xfrm>
        <a:off x="8191500" y="3324225"/>
        <a:ext cx="4400550" cy="3438525"/>
      </xdr:xfrm>
      <a:graphic>
        <a:graphicData uri="http://schemas.openxmlformats.org/drawingml/2006/chart">
          <c:chart xmlns:c="http://schemas.openxmlformats.org/drawingml/2006/chart" r:id="rId1"/>
        </a:graphicData>
      </a:graphic>
    </xdr:graphicFrame>
    <xdr:clientData/>
  </xdr:oneCellAnchor>
  <xdr:oneCellAnchor>
    <xdr:from>
      <xdr:col>12</xdr:col>
      <xdr:colOff>76200</xdr:colOff>
      <xdr:row>6</xdr:row>
      <xdr:rowOff>209550</xdr:rowOff>
    </xdr:from>
    <xdr:ext cx="1543050" cy="1466850"/>
    <xdr:grpSp>
      <xdr:nvGrpSpPr>
        <xdr:cNvPr id="2" name="Chart 14"/>
        <xdr:cNvGrpSpPr>
          <a:grpSpLocks/>
        </xdr:cNvGrpSpPr>
      </xdr:nvGrpSpPr>
      <xdr:grpSpPr>
        <a:xfrm>
          <a:off x="11153775" y="1752600"/>
          <a:ext cx="1543050" cy="1466850"/>
          <a:chOff x="11140440" y="2937510"/>
          <a:chExt cx="1588769" cy="1499231"/>
        </a:xfrm>
        <a:solidFill>
          <a:srgbClr val="FFFFFF"/>
        </a:solidFill>
      </xdr:grpSpPr>
      <xdr:graphicFrame>
        <xdr:nvGraphicFramePr>
          <xdr:cNvPr id="3" name="Chart 3"/>
          <xdr:cNvGraphicFramePr/>
        </xdr:nvGraphicFramePr>
        <xdr:xfrm>
          <a:off x="11140440" y="2937510"/>
          <a:ext cx="1588769" cy="1499231"/>
        </xdr:xfrm>
        <a:graphic>
          <a:graphicData uri="http://schemas.openxmlformats.org/drawingml/2006/chart">
            <c:chart xmlns:c="http://schemas.openxmlformats.org/drawingml/2006/chart" r:id="rId2"/>
          </a:graphicData>
        </a:graphic>
      </xdr:graphicFrame>
      <xdr:sp>
        <xdr:nvSpPr>
          <xdr:cNvPr id="4" name="Text Box 1"/>
          <xdr:cNvSpPr txBox="1">
            <a:spLocks noChangeArrowheads="1"/>
          </xdr:cNvSpPr>
        </xdr:nvSpPr>
        <xdr:spPr>
          <a:xfrm>
            <a:off x="11189295" y="2995980"/>
            <a:ext cx="1333772" cy="389425"/>
          </a:xfrm>
          <a:prstGeom prst="rect">
            <a:avLst/>
          </a:prstGeom>
          <a:noFill/>
          <a:ln w="9525" cmpd="sng">
            <a:noFill/>
          </a:ln>
        </xdr:spPr>
        <xdr:txBody>
          <a:bodyPr vertOverflow="clip" wrap="square" lIns="27432" tIns="18288" rIns="27432" bIns="0"/>
          <a:p>
            <a:pPr algn="ctr">
              <a:defRPr/>
            </a:pPr>
            <a:r>
              <a:rPr lang="en-US" cap="none" sz="800" b="1" i="0" u="none" baseline="0">
                <a:solidFill>
                  <a:srgbClr val="000000"/>
                </a:solidFill>
                <a:latin typeface="Times New Roman"/>
                <a:ea typeface="Times New Roman"/>
                <a:cs typeface="Times New Roman"/>
              </a:rPr>
              <a:t>Greenhouse Gas Profile
</a:t>
            </a:r>
            <a:r>
              <a:rPr lang="en-US" cap="none" sz="800" b="1" i="0" u="none" baseline="0">
                <a:solidFill>
                  <a:srgbClr val="000000"/>
                </a:solidFill>
                <a:latin typeface="Times New Roman"/>
                <a:ea typeface="Times New Roman"/>
                <a:cs typeface="Times New Roman"/>
              </a:rPr>
              <a:t>Summary</a:t>
            </a:r>
          </a:p>
        </xdr:txBody>
      </xdr:sp>
    </xdr:grpSp>
    <xdr:clientData/>
  </xdr:oneCellAnchor>
  <xdr:twoCellAnchor editAs="oneCell">
    <xdr:from>
      <xdr:col>5</xdr:col>
      <xdr:colOff>276225</xdr:colOff>
      <xdr:row>26</xdr:row>
      <xdr:rowOff>57150</xdr:rowOff>
    </xdr:from>
    <xdr:to>
      <xdr:col>6</xdr:col>
      <xdr:colOff>95250</xdr:colOff>
      <xdr:row>30</xdr:row>
      <xdr:rowOff>104775</xdr:rowOff>
    </xdr:to>
    <xdr:pic>
      <xdr:nvPicPr>
        <xdr:cNvPr id="5" name="Picture 33" descr="MINCMYK"/>
        <xdr:cNvPicPr preferRelativeResize="1">
          <a:picLocks noChangeAspect="1"/>
        </xdr:cNvPicPr>
      </xdr:nvPicPr>
      <xdr:blipFill>
        <a:blip r:embed="rId3"/>
        <a:stretch>
          <a:fillRect/>
        </a:stretch>
      </xdr:blipFill>
      <xdr:spPr>
        <a:xfrm>
          <a:off x="4752975" y="6019800"/>
          <a:ext cx="771525" cy="809625"/>
        </a:xfrm>
        <a:prstGeom prst="rect">
          <a:avLst/>
        </a:prstGeom>
        <a:noFill/>
        <a:ln w="9528"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10</xdr:row>
      <xdr:rowOff>85725</xdr:rowOff>
    </xdr:from>
    <xdr:to>
      <xdr:col>18</xdr:col>
      <xdr:colOff>371475</xdr:colOff>
      <xdr:row>26</xdr:row>
      <xdr:rowOff>171450</xdr:rowOff>
    </xdr:to>
    <xdr:pic>
      <xdr:nvPicPr>
        <xdr:cNvPr id="1" name="Picture 35"/>
        <xdr:cNvPicPr preferRelativeResize="1">
          <a:picLocks noChangeAspect="1"/>
        </xdr:cNvPicPr>
      </xdr:nvPicPr>
      <xdr:blipFill>
        <a:blip r:embed="rId1"/>
        <a:stretch>
          <a:fillRect/>
        </a:stretch>
      </xdr:blipFill>
      <xdr:spPr>
        <a:xfrm>
          <a:off x="10201275" y="2257425"/>
          <a:ext cx="4648200" cy="3305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704850</xdr:colOff>
      <xdr:row>10</xdr:row>
      <xdr:rowOff>76200</xdr:rowOff>
    </xdr:from>
    <xdr:ext cx="8324850" cy="3457575"/>
    <xdr:graphicFrame>
      <xdr:nvGraphicFramePr>
        <xdr:cNvPr id="1" name="Chart 3"/>
        <xdr:cNvGraphicFramePr/>
      </xdr:nvGraphicFramePr>
      <xdr:xfrm>
        <a:off x="8362950" y="2257425"/>
        <a:ext cx="8324850" cy="3457575"/>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imatechange.gov.au/en/publications/greenhouse-acctg/~/media/publications/greenhouse-acctg/NationalInventoryReport-2010-Vol-1.pdf"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dimension ref="A1:B137"/>
  <sheetViews>
    <sheetView showGridLines="0" zoomScale="80" zoomScaleNormal="80" zoomScalePageLayoutView="0" workbookViewId="0" topLeftCell="A1">
      <selection activeCell="A1" sqref="A1"/>
    </sheetView>
  </sheetViews>
  <sheetFormatPr defaultColWidth="0" defaultRowHeight="12.75" zeroHeight="1"/>
  <cols>
    <col min="1" max="1" width="2.421875" style="3" customWidth="1"/>
    <col min="2" max="2" width="143.28125" style="3" customWidth="1"/>
    <col min="3" max="3" width="0" style="3" hidden="1" customWidth="1"/>
    <col min="4" max="16384" width="0" style="3" hidden="1" customWidth="1"/>
  </cols>
  <sheetData>
    <row r="1" spans="1:2" ht="30.75" customHeight="1" thickBot="1">
      <c r="A1" s="1"/>
      <c r="B1" s="2" t="s">
        <v>428</v>
      </c>
    </row>
    <row r="2" spans="1:2" ht="110.25">
      <c r="A2" s="1"/>
      <c r="B2" s="4" t="s">
        <v>0</v>
      </c>
    </row>
    <row r="3" spans="1:2" ht="30.75" customHeight="1" thickBot="1">
      <c r="A3" s="1"/>
      <c r="B3" s="5" t="s">
        <v>1</v>
      </c>
    </row>
    <row r="4" spans="1:2" ht="37.5">
      <c r="A4" s="1"/>
      <c r="B4" s="6" t="s">
        <v>2</v>
      </c>
    </row>
    <row r="5" spans="1:2" ht="75">
      <c r="A5" s="1"/>
      <c r="B5" s="7" t="s">
        <v>3</v>
      </c>
    </row>
    <row r="6" spans="1:2" ht="37.5">
      <c r="A6" s="1"/>
      <c r="B6" s="7" t="s">
        <v>4</v>
      </c>
    </row>
    <row r="7" spans="1:2" ht="18.75">
      <c r="A7" s="1"/>
      <c r="B7" s="8" t="s">
        <v>5</v>
      </c>
    </row>
    <row r="8" spans="1:2" ht="18.75">
      <c r="A8" s="1"/>
      <c r="B8" s="7" t="s">
        <v>6</v>
      </c>
    </row>
    <row r="9" spans="1:2" ht="18.75">
      <c r="A9" s="1"/>
      <c r="B9" s="7"/>
    </row>
    <row r="10" spans="1:2" ht="20.25">
      <c r="A10" s="1"/>
      <c r="B10" s="9" t="s">
        <v>7</v>
      </c>
    </row>
    <row r="11" spans="1:2" ht="20.25">
      <c r="A11" s="1"/>
      <c r="B11" s="9" t="s">
        <v>8</v>
      </c>
    </row>
    <row r="12" spans="1:2" ht="20.25">
      <c r="A12" s="1"/>
      <c r="B12" s="9" t="s">
        <v>9</v>
      </c>
    </row>
    <row r="13" spans="1:2" ht="18.75">
      <c r="A13" s="1"/>
      <c r="B13" s="9"/>
    </row>
    <row r="14" spans="1:2" ht="19.5" thickBot="1">
      <c r="A14" s="1"/>
      <c r="B14" s="7"/>
    </row>
    <row r="15" spans="1:2" ht="29.25" customHeight="1" thickBot="1">
      <c r="A15" s="1"/>
      <c r="B15" s="279" t="s">
        <v>10</v>
      </c>
    </row>
    <row r="16" spans="1:2" ht="21" customHeight="1">
      <c r="A16" s="1"/>
      <c r="B16" s="10"/>
    </row>
    <row r="17" spans="1:2" ht="75">
      <c r="A17" s="1"/>
      <c r="B17" s="11" t="s">
        <v>11</v>
      </c>
    </row>
    <row r="18" spans="1:2" ht="164.25" customHeight="1">
      <c r="A18" s="1"/>
      <c r="B18" s="11" t="s">
        <v>12</v>
      </c>
    </row>
    <row r="19" spans="1:2" ht="60" customHeight="1">
      <c r="A19" s="1"/>
      <c r="B19" s="11" t="s">
        <v>13</v>
      </c>
    </row>
    <row r="20" spans="1:2" ht="80.25" customHeight="1">
      <c r="A20" s="1"/>
      <c r="B20" s="11" t="s">
        <v>14</v>
      </c>
    </row>
    <row r="21" spans="1:2" ht="82.5" customHeight="1">
      <c r="A21" s="1"/>
      <c r="B21" s="11" t="s">
        <v>15</v>
      </c>
    </row>
    <row r="22" spans="1:2" s="14" customFormat="1" ht="21.75" customHeight="1" thickBot="1">
      <c r="A22" s="12"/>
      <c r="B22" s="13"/>
    </row>
    <row r="23" spans="1:2" ht="30" customHeight="1" thickBot="1">
      <c r="A23" s="1"/>
      <c r="B23" s="279" t="s">
        <v>16</v>
      </c>
    </row>
    <row r="24" spans="1:2" ht="20.25">
      <c r="A24" s="1"/>
      <c r="B24" s="16" t="s">
        <v>17</v>
      </c>
    </row>
    <row r="25" spans="1:2" ht="37.5">
      <c r="A25" s="1"/>
      <c r="B25" s="15" t="s">
        <v>18</v>
      </c>
    </row>
    <row r="26" spans="1:2" ht="24.75" customHeight="1">
      <c r="A26" s="1"/>
      <c r="B26" s="15" t="s">
        <v>19</v>
      </c>
    </row>
    <row r="27" spans="1:2" ht="18.75">
      <c r="A27" s="1"/>
      <c r="B27" s="16"/>
    </row>
    <row r="28" spans="1:2" ht="112.5">
      <c r="A28" s="1"/>
      <c r="B28" s="15" t="s">
        <v>20</v>
      </c>
    </row>
    <row r="29" spans="1:2" ht="112.5">
      <c r="A29" s="1"/>
      <c r="B29" s="15" t="s">
        <v>21</v>
      </c>
    </row>
    <row r="30" spans="1:2" ht="15.75" customHeight="1" thickBot="1">
      <c r="A30" s="1"/>
      <c r="B30" s="17"/>
    </row>
    <row r="31" spans="1:2" ht="24.75" customHeight="1" thickBot="1">
      <c r="A31" s="1"/>
      <c r="B31" s="279" t="s">
        <v>22</v>
      </c>
    </row>
    <row r="32" spans="1:2" ht="39" customHeight="1">
      <c r="A32" s="1"/>
      <c r="B32" s="16" t="s">
        <v>23</v>
      </c>
    </row>
    <row r="33" spans="1:2" ht="19.5" thickBot="1">
      <c r="A33" s="1"/>
      <c r="B33" s="18"/>
    </row>
    <row r="34" spans="1:2" s="14" customFormat="1" ht="25.5" customHeight="1" thickBot="1">
      <c r="A34" s="12"/>
      <c r="B34" s="279" t="s">
        <v>24</v>
      </c>
    </row>
    <row r="35" spans="1:2" s="14" customFormat="1" ht="75">
      <c r="A35" s="12"/>
      <c r="B35" s="16" t="s">
        <v>25</v>
      </c>
    </row>
    <row r="36" ht="17.25" customHeight="1">
      <c r="A36" s="1"/>
    </row>
    <row r="37" ht="78" customHeight="1" hidden="1">
      <c r="A37" s="1"/>
    </row>
    <row r="38" spans="1:2" ht="18.75" hidden="1">
      <c r="A38" s="1"/>
      <c r="B38" s="19"/>
    </row>
    <row r="39" spans="1:2" ht="138" customHeight="1" hidden="1">
      <c r="A39" s="1"/>
      <c r="B39" s="19"/>
    </row>
    <row r="40" spans="1:2" ht="45" customHeight="1" hidden="1">
      <c r="A40" s="1"/>
      <c r="B40" s="19"/>
    </row>
    <row r="41" spans="1:2" ht="45.75" customHeight="1" hidden="1">
      <c r="A41" s="1"/>
      <c r="B41" s="20"/>
    </row>
    <row r="42" spans="1:2" ht="43.5" customHeight="1" hidden="1">
      <c r="A42" s="1"/>
      <c r="B42" s="19"/>
    </row>
    <row r="43" spans="1:2" ht="65.25" customHeight="1" hidden="1">
      <c r="A43" s="1"/>
      <c r="B43" s="20"/>
    </row>
    <row r="44" spans="1:2" ht="106.5" customHeight="1" hidden="1">
      <c r="A44" s="1"/>
      <c r="B44" s="19"/>
    </row>
    <row r="45" spans="1:2" ht="91.5" customHeight="1" hidden="1">
      <c r="A45" s="1"/>
      <c r="B45" s="20"/>
    </row>
    <row r="46" spans="1:2" ht="18.75" hidden="1">
      <c r="A46" s="1"/>
      <c r="B46" s="21"/>
    </row>
    <row r="47" spans="1:2" ht="18.75" hidden="1">
      <c r="A47" s="1"/>
      <c r="B47" s="19"/>
    </row>
    <row r="48" spans="1:2" ht="18.75" hidden="1">
      <c r="A48" s="1"/>
      <c r="B48" s="19"/>
    </row>
    <row r="49" spans="1:2" ht="18.75" hidden="1">
      <c r="A49" s="1"/>
      <c r="B49" s="21"/>
    </row>
    <row r="50" spans="1:2" ht="18.75" hidden="1">
      <c r="A50" s="1"/>
      <c r="B50" s="19"/>
    </row>
    <row r="51" spans="1:2" ht="18.75" hidden="1">
      <c r="A51" s="1"/>
      <c r="B51" s="19"/>
    </row>
    <row r="52" spans="1:2" ht="18.75" hidden="1">
      <c r="A52" s="1"/>
      <c r="B52" s="19"/>
    </row>
    <row r="53" spans="1:2" ht="18.75" hidden="1">
      <c r="A53" s="1"/>
      <c r="B53" s="22"/>
    </row>
    <row r="54" spans="1:2" ht="18.75" hidden="1">
      <c r="A54" s="1"/>
      <c r="B54" s="22"/>
    </row>
    <row r="55" spans="1:2" ht="18.75" hidden="1">
      <c r="A55" s="1"/>
      <c r="B55" s="22"/>
    </row>
    <row r="56" spans="1:2" ht="18.75" hidden="1">
      <c r="A56" s="1"/>
      <c r="B56" s="19"/>
    </row>
    <row r="57" spans="1:2" ht="18.75" hidden="1">
      <c r="A57" s="1"/>
      <c r="B57" s="19"/>
    </row>
    <row r="58" spans="1:2" ht="18.75" hidden="1">
      <c r="A58" s="1"/>
      <c r="B58" s="1"/>
    </row>
    <row r="59" spans="1:2" ht="18.75" hidden="1">
      <c r="A59" s="1"/>
      <c r="B59" s="1"/>
    </row>
    <row r="60" spans="1:2" ht="18.75" hidden="1">
      <c r="A60" s="1"/>
      <c r="B60" s="1"/>
    </row>
    <row r="61" spans="1:2" ht="18.75" hidden="1">
      <c r="A61" s="1"/>
      <c r="B61" s="1"/>
    </row>
    <row r="62" spans="1:2" ht="18.75" hidden="1">
      <c r="A62" s="1"/>
      <c r="B62" s="1"/>
    </row>
    <row r="63" spans="1:2" ht="18.75" hidden="1">
      <c r="A63" s="1"/>
      <c r="B63" s="1"/>
    </row>
    <row r="64" spans="1:2" ht="18.75" hidden="1">
      <c r="A64" s="1"/>
      <c r="B64" s="1"/>
    </row>
    <row r="65" spans="1:2" ht="18.75" hidden="1">
      <c r="A65" s="1"/>
      <c r="B65" s="1"/>
    </row>
    <row r="66" spans="1:2" ht="18.75" hidden="1">
      <c r="A66" s="1"/>
      <c r="B66" s="1"/>
    </row>
    <row r="67" spans="1:2" ht="18.75" hidden="1">
      <c r="A67" s="1"/>
      <c r="B67" s="1"/>
    </row>
    <row r="68" spans="1:2" ht="18.75" hidden="1">
      <c r="A68" s="1"/>
      <c r="B68" s="1"/>
    </row>
    <row r="69" spans="1:2" ht="18.75" hidden="1">
      <c r="A69" s="1"/>
      <c r="B69" s="1"/>
    </row>
    <row r="70" spans="1:2" ht="18.75" hidden="1">
      <c r="A70" s="1"/>
      <c r="B70" s="1"/>
    </row>
    <row r="71" spans="1:2" ht="18.75" hidden="1">
      <c r="A71" s="1"/>
      <c r="B71" s="1"/>
    </row>
    <row r="72" spans="1:2" ht="18.75" hidden="1">
      <c r="A72" s="1"/>
      <c r="B72" s="1"/>
    </row>
    <row r="73" spans="1:2" ht="18.75" hidden="1">
      <c r="A73" s="1"/>
      <c r="B73" s="1"/>
    </row>
    <row r="74" spans="1:2" ht="18.75" hidden="1">
      <c r="A74" s="1"/>
      <c r="B74" s="1"/>
    </row>
    <row r="75" spans="1:2" ht="18.75" hidden="1">
      <c r="A75" s="1"/>
      <c r="B75" s="1"/>
    </row>
    <row r="76" spans="1:2" ht="18.75" hidden="1">
      <c r="A76" s="1"/>
      <c r="B76" s="1"/>
    </row>
    <row r="77" spans="1:2" ht="18.75" hidden="1">
      <c r="A77" s="1"/>
      <c r="B77" s="1"/>
    </row>
    <row r="78" spans="1:2" ht="18.75" hidden="1">
      <c r="A78" s="1"/>
      <c r="B78" s="1"/>
    </row>
    <row r="79" spans="1:2" ht="18.75" hidden="1">
      <c r="A79" s="1"/>
      <c r="B79" s="1"/>
    </row>
    <row r="80" spans="1:2" ht="18.75" hidden="1">
      <c r="A80" s="1"/>
      <c r="B80" s="1"/>
    </row>
    <row r="81" spans="1:2" ht="18.75" hidden="1">
      <c r="A81" s="1"/>
      <c r="B81" s="1"/>
    </row>
    <row r="82" spans="1:2" ht="18.75" hidden="1">
      <c r="A82" s="1"/>
      <c r="B82" s="1"/>
    </row>
    <row r="83" spans="1:2" ht="18.75" hidden="1">
      <c r="A83" s="1"/>
      <c r="B83" s="1"/>
    </row>
    <row r="84" spans="1:2" ht="18.75" hidden="1">
      <c r="A84" s="1"/>
      <c r="B84" s="1"/>
    </row>
    <row r="85" spans="1:2" ht="18.75" hidden="1">
      <c r="A85" s="1"/>
      <c r="B85" s="1"/>
    </row>
    <row r="86" spans="1:2" ht="18.75" hidden="1">
      <c r="A86" s="1"/>
      <c r="B86" s="1"/>
    </row>
    <row r="87" spans="1:2" ht="18.75" hidden="1">
      <c r="A87" s="1"/>
      <c r="B87" s="1"/>
    </row>
    <row r="88" spans="1:2" ht="18.75" hidden="1">
      <c r="A88" s="1"/>
      <c r="B88" s="1"/>
    </row>
    <row r="89" spans="1:2" ht="18.75" hidden="1">
      <c r="A89" s="1"/>
      <c r="B89" s="1"/>
    </row>
    <row r="90" spans="1:2" ht="18.75" hidden="1">
      <c r="A90" s="1"/>
      <c r="B90" s="1"/>
    </row>
    <row r="91" spans="1:2" ht="18.75" hidden="1">
      <c r="A91" s="1"/>
      <c r="B91" s="1"/>
    </row>
    <row r="92" spans="1:2" ht="18.75" hidden="1">
      <c r="A92" s="1"/>
      <c r="B92" s="1"/>
    </row>
    <row r="93" spans="1:2" ht="18.75" hidden="1">
      <c r="A93" s="1"/>
      <c r="B93" s="1"/>
    </row>
    <row r="94" spans="1:2" ht="18.75" hidden="1">
      <c r="A94" s="1"/>
      <c r="B94" s="1"/>
    </row>
    <row r="95" spans="1:2" ht="18.75" hidden="1">
      <c r="A95" s="1"/>
      <c r="B95" s="1"/>
    </row>
    <row r="96" spans="1:2" ht="18.75" hidden="1">
      <c r="A96" s="1"/>
      <c r="B96" s="1"/>
    </row>
    <row r="97" spans="1:2" ht="18.75" hidden="1">
      <c r="A97" s="1"/>
      <c r="B97" s="1"/>
    </row>
    <row r="98" spans="1:2" ht="18.75" hidden="1">
      <c r="A98" s="1"/>
      <c r="B98" s="1"/>
    </row>
    <row r="99" spans="1:2" ht="18.75" hidden="1">
      <c r="A99" s="1"/>
      <c r="B99" s="1"/>
    </row>
    <row r="100" spans="1:2" ht="18.75" hidden="1">
      <c r="A100" s="1"/>
      <c r="B100" s="1"/>
    </row>
    <row r="101" spans="1:2" ht="18.75" hidden="1">
      <c r="A101" s="1"/>
      <c r="B101" s="1"/>
    </row>
    <row r="102" spans="1:2" ht="18.75" hidden="1">
      <c r="A102" s="1"/>
      <c r="B102" s="1"/>
    </row>
    <row r="103" spans="1:2" ht="18.75" hidden="1">
      <c r="A103" s="1"/>
      <c r="B103" s="1"/>
    </row>
    <row r="104" spans="1:2" ht="18.75" hidden="1">
      <c r="A104" s="1"/>
      <c r="B104" s="1"/>
    </row>
    <row r="105" spans="1:2" ht="18.75" hidden="1">
      <c r="A105" s="1"/>
      <c r="B105" s="1"/>
    </row>
    <row r="106" spans="1:2" ht="18.75" hidden="1">
      <c r="A106" s="1"/>
      <c r="B106" s="1"/>
    </row>
    <row r="107" spans="1:2" ht="18.75" hidden="1">
      <c r="A107" s="1"/>
      <c r="B107" s="1"/>
    </row>
    <row r="108" spans="1:2" ht="18.75" hidden="1">
      <c r="A108" s="1"/>
      <c r="B108" s="1"/>
    </row>
    <row r="109" spans="1:2" ht="18.75" hidden="1">
      <c r="A109" s="1"/>
      <c r="B109" s="1"/>
    </row>
    <row r="110" spans="1:2" ht="18.75" hidden="1">
      <c r="A110" s="1"/>
      <c r="B110" s="1"/>
    </row>
    <row r="111" spans="1:2" ht="18.75" hidden="1">
      <c r="A111" s="1"/>
      <c r="B111" s="1"/>
    </row>
    <row r="112" spans="1:2" ht="18.75" hidden="1">
      <c r="A112" s="1"/>
      <c r="B112" s="1"/>
    </row>
    <row r="113" spans="1:2" ht="18.75" hidden="1">
      <c r="A113" s="1"/>
      <c r="B113" s="1"/>
    </row>
    <row r="114" spans="1:2" ht="18.75" hidden="1">
      <c r="A114" s="1"/>
      <c r="B114" s="1"/>
    </row>
    <row r="115" spans="1:2" ht="18.75" hidden="1">
      <c r="A115" s="1"/>
      <c r="B115" s="1"/>
    </row>
    <row r="116" spans="1:2" ht="18.75" hidden="1">
      <c r="A116" s="1"/>
      <c r="B116" s="1"/>
    </row>
    <row r="117" spans="1:2" ht="18.75" hidden="1">
      <c r="A117" s="1"/>
      <c r="B117" s="1"/>
    </row>
    <row r="118" spans="1:2" ht="18.75" hidden="1">
      <c r="A118" s="1"/>
      <c r="B118" s="1"/>
    </row>
    <row r="119" spans="1:2" ht="18.75" hidden="1">
      <c r="A119" s="1"/>
      <c r="B119" s="1"/>
    </row>
    <row r="120" spans="1:2" ht="18.75" hidden="1">
      <c r="A120" s="1"/>
      <c r="B120" s="1"/>
    </row>
    <row r="121" spans="1:2" ht="18.75" hidden="1">
      <c r="A121" s="1"/>
      <c r="B121" s="1"/>
    </row>
    <row r="122" spans="1:2" ht="18.75" hidden="1">
      <c r="A122" s="1"/>
      <c r="B122" s="21"/>
    </row>
    <row r="123" spans="1:2" ht="18.75" hidden="1">
      <c r="A123" s="1"/>
      <c r="B123" s="1"/>
    </row>
    <row r="124" spans="1:2" ht="18.75" hidden="1">
      <c r="A124" s="1"/>
      <c r="B124" s="23"/>
    </row>
    <row r="125" spans="1:2" ht="18.75" hidden="1">
      <c r="A125" s="1"/>
      <c r="B125" s="23"/>
    </row>
    <row r="126" spans="1:2" ht="18.75" hidden="1">
      <c r="A126" s="1"/>
      <c r="B126" s="23"/>
    </row>
    <row r="127" spans="1:2" ht="18.75" hidden="1">
      <c r="A127" s="1"/>
      <c r="B127" s="23"/>
    </row>
    <row r="128" spans="1:2" ht="18.75" hidden="1">
      <c r="A128" s="1"/>
      <c r="B128" s="23"/>
    </row>
    <row r="129" spans="1:2" ht="18.75" hidden="1">
      <c r="A129" s="1"/>
      <c r="B129" s="23"/>
    </row>
    <row r="130" spans="1:2" ht="18.75" hidden="1">
      <c r="A130" s="1"/>
      <c r="B130" s="23"/>
    </row>
    <row r="131" spans="1:2" ht="18.75" hidden="1">
      <c r="A131" s="1"/>
      <c r="B131" s="23"/>
    </row>
    <row r="132" spans="1:2" ht="18.75" hidden="1">
      <c r="A132" s="1"/>
      <c r="B132" s="23"/>
    </row>
    <row r="133" spans="1:2" ht="18.75" hidden="1">
      <c r="A133" s="1"/>
      <c r="B133" s="1"/>
    </row>
    <row r="134" spans="1:2" ht="18.75" hidden="1">
      <c r="A134" s="1"/>
      <c r="B134" s="1"/>
    </row>
    <row r="135" spans="1:2" ht="18.75" hidden="1">
      <c r="A135" s="1"/>
      <c r="B135" s="1"/>
    </row>
    <row r="136" spans="1:2" ht="18.75" hidden="1">
      <c r="A136" s="1"/>
      <c r="B136" s="1"/>
    </row>
    <row r="137" spans="1:2" ht="18.75" hidden="1">
      <c r="A137" s="1"/>
      <c r="B137" s="1"/>
    </row>
    <row r="138" ht="18" hidden="1"/>
    <row r="139" ht="18" hidden="1"/>
    <row r="140" ht="18" hidden="1"/>
    <row r="141" ht="18" hidden="1"/>
    <row r="142" ht="18" hidden="1"/>
    <row r="143" ht="18" hidden="1"/>
    <row r="144" ht="18" hidden="1"/>
  </sheetData>
  <sheetProtection sheet="1"/>
  <hyperlinks>
    <hyperlink ref="B7" r:id="rId1" display="http://www.climatechange.gov.au/en/publications/greenhouse-acctg/~/media/publications/greenhouse-acctg/NationalInventoryReport-2010-Vol-1.pdf"/>
    <hyperlink ref="B10" location="Intro!B20" display="     - Methane (CH4)"/>
    <hyperlink ref="B11" location="Intro!B40" display="     - Nitrous oxide (N2O)"/>
    <hyperlink ref="B12" location="Intro!B49" display="     - Carbon dioxide (CO2)"/>
  </hyperlinks>
  <printOptions/>
  <pageMargins left="0.7500000000000001" right="0.7500000000000001" top="1" bottom="1" header="0.5" footer="0.5"/>
  <pageSetup fitToHeight="0" fitToWidth="0" orientation="portrait" paperSize="9"/>
  <drawing r:id="rId2"/>
</worksheet>
</file>

<file path=xl/worksheets/sheet2.xml><?xml version="1.0" encoding="utf-8"?>
<worksheet xmlns="http://schemas.openxmlformats.org/spreadsheetml/2006/main" xmlns:r="http://schemas.openxmlformats.org/officeDocument/2006/relationships">
  <dimension ref="B1:N37"/>
  <sheetViews>
    <sheetView showGridLines="0" tabSelected="1" zoomScale="80" zoomScaleNormal="80" zoomScalePageLayoutView="0" workbookViewId="0" topLeftCell="A1">
      <selection activeCell="C21" sqref="C21"/>
    </sheetView>
  </sheetViews>
  <sheetFormatPr defaultColWidth="0" defaultRowHeight="12.75" zeroHeight="1"/>
  <cols>
    <col min="1" max="1" width="1.7109375" style="24" customWidth="1"/>
    <col min="2" max="2" width="28.00390625" style="24" customWidth="1"/>
    <col min="3" max="3" width="11.57421875" style="24" customWidth="1"/>
    <col min="4" max="4" width="10.8515625" style="24" customWidth="1"/>
    <col min="5" max="5" width="15.00390625" style="24" customWidth="1"/>
    <col min="6" max="6" width="14.28125" style="24" customWidth="1"/>
    <col min="7" max="7" width="12.28125" style="24" customWidth="1"/>
    <col min="8" max="8" width="18.7109375" style="24" customWidth="1"/>
    <col min="9" max="9" width="12.7109375" style="24" customWidth="1"/>
    <col min="10" max="10" width="2.7109375" style="24" customWidth="1"/>
    <col min="11" max="11" width="25.28125" style="24" customWidth="1"/>
    <col min="12" max="12" width="13.00390625" style="24" bestFit="1" customWidth="1"/>
    <col min="13" max="13" width="9.8515625" style="24" bestFit="1" customWidth="1"/>
    <col min="14" max="14" width="13.00390625" style="24" customWidth="1"/>
    <col min="15" max="15" width="2.7109375" style="24" customWidth="1"/>
    <col min="16" max="16" width="0" style="24" hidden="1" customWidth="1"/>
    <col min="17" max="16384" width="0" style="24" hidden="1" customWidth="1"/>
  </cols>
  <sheetData>
    <row r="1" ht="24" customHeight="1">
      <c r="B1" s="25" t="s">
        <v>26</v>
      </c>
    </row>
    <row r="2" spans="3:9" ht="15">
      <c r="C2" s="26"/>
      <c r="D2" s="26"/>
      <c r="E2" s="26"/>
      <c r="F2" s="26"/>
      <c r="H2" s="26"/>
      <c r="I2" s="26"/>
    </row>
    <row r="3" spans="2:14" ht="16.5" customHeight="1">
      <c r="B3" s="348" t="s">
        <v>27</v>
      </c>
      <c r="C3" s="398" t="str">
        <f>'Data input'!I1</f>
        <v>Joe Bloggs</v>
      </c>
      <c r="D3" s="398"/>
      <c r="E3" s="324"/>
      <c r="F3" s="324"/>
      <c r="G3" s="324"/>
      <c r="H3" s="324"/>
      <c r="I3" s="325"/>
      <c r="K3" s="316" t="s">
        <v>28</v>
      </c>
      <c r="L3" s="310" t="s">
        <v>29</v>
      </c>
      <c r="M3" s="313" t="s">
        <v>30</v>
      </c>
      <c r="N3" s="310" t="str">
        <f>L3</f>
        <v>t CO2e/farm</v>
      </c>
    </row>
    <row r="4" spans="2:14" ht="19.5" customHeight="1">
      <c r="B4" s="341" t="s">
        <v>413</v>
      </c>
      <c r="C4" s="344">
        <f>'Data input'!M4</f>
        <v>1</v>
      </c>
      <c r="D4" s="342" t="str">
        <f>VLOOKUP(C4,'Nitrous Oxide_MMS'!M21:N27,2,FALSE)</f>
        <v>NSW/ACT</v>
      </c>
      <c r="E4" s="342"/>
      <c r="F4" s="342"/>
      <c r="G4" s="342"/>
      <c r="H4" s="342"/>
      <c r="I4" s="343"/>
      <c r="K4" s="268" t="s">
        <v>39</v>
      </c>
      <c r="L4" s="317">
        <f>'Electicity &amp; Diesel'!C34</f>
        <v>74.32678626</v>
      </c>
      <c r="M4" s="314" t="s">
        <v>40</v>
      </c>
      <c r="N4" s="311">
        <f>SUM(L4)</f>
        <v>74.32678626</v>
      </c>
    </row>
    <row r="5" spans="2:14" ht="30">
      <c r="B5" s="303" t="s">
        <v>31</v>
      </c>
      <c r="C5" s="326" t="str">
        <f>'Data input'!D3</f>
        <v>Rams</v>
      </c>
      <c r="D5" s="326" t="str">
        <f>'Data input'!E3</f>
        <v>Wethers</v>
      </c>
      <c r="E5" s="327" t="str">
        <f>'Data input'!F3</f>
        <v>Maiden breeding ewes</v>
      </c>
      <c r="F5" s="326" t="str">
        <f>'Data input'!G3</f>
        <v>Breeding ewes</v>
      </c>
      <c r="G5" s="326" t="str">
        <f>'Data input'!H3</f>
        <v>Other ewes</v>
      </c>
      <c r="H5" s="326" t="str">
        <f>'Data input'!I3</f>
        <v>Lambs and hoggets</v>
      </c>
      <c r="I5" s="328" t="str">
        <f>'Data input'!J3</f>
        <v>Units</v>
      </c>
      <c r="J5" s="29"/>
      <c r="K5" s="268" t="s">
        <v>42</v>
      </c>
      <c r="L5" s="318">
        <f>'Enteric fermentation'!M48</f>
        <v>479.6805819220436</v>
      </c>
      <c r="M5" s="314" t="s">
        <v>43</v>
      </c>
      <c r="N5" s="311">
        <f>SUM(L5)</f>
        <v>479.6805819220436</v>
      </c>
    </row>
    <row r="6" spans="2:14" ht="16.5">
      <c r="B6" s="293" t="s">
        <v>41</v>
      </c>
      <c r="C6" s="329">
        <f>'Data input'!D8</f>
        <v>50</v>
      </c>
      <c r="D6" s="329">
        <f>'Data input'!E8</f>
        <v>2000</v>
      </c>
      <c r="E6" s="329">
        <f>'Data input'!F8</f>
        <v>500</v>
      </c>
      <c r="F6" s="329">
        <f>'Data input'!G8</f>
        <v>500</v>
      </c>
      <c r="G6" s="329">
        <f>'Data input'!H8</f>
        <v>0</v>
      </c>
      <c r="H6" s="329">
        <f>'Data input'!I8</f>
        <v>0</v>
      </c>
      <c r="I6" s="330" t="str">
        <f>'Data input'!J8</f>
        <v>head</v>
      </c>
      <c r="K6" s="268" t="s">
        <v>45</v>
      </c>
      <c r="L6" s="319">
        <f>'Manure management'!C35</f>
        <v>0.12106003739461657</v>
      </c>
      <c r="M6" s="315" t="s">
        <v>46</v>
      </c>
      <c r="N6" s="312">
        <f>SUM(L7:L9)</f>
        <v>93.86200603554543</v>
      </c>
    </row>
    <row r="7" spans="2:14" ht="16.5">
      <c r="B7" s="293" t="s">
        <v>44</v>
      </c>
      <c r="C7" s="331">
        <f>'Data input'!D14</f>
        <v>66.25</v>
      </c>
      <c r="D7" s="331">
        <f>'Data input'!E14</f>
        <v>54.25</v>
      </c>
      <c r="E7" s="331">
        <f>'Data input'!F14</f>
        <v>44</v>
      </c>
      <c r="F7" s="331">
        <f>'Data input'!G14</f>
        <v>49</v>
      </c>
      <c r="G7" s="331">
        <f>'Data input'!H14</f>
        <v>50</v>
      </c>
      <c r="H7" s="331">
        <f>'Data input'!I14</f>
        <v>28.75</v>
      </c>
      <c r="I7" s="332" t="str">
        <f>'Data input'!J14</f>
        <v>kg/head</v>
      </c>
      <c r="K7" s="268" t="s">
        <v>48</v>
      </c>
      <c r="L7" s="317">
        <f>'Agricultural soils'!D52</f>
        <v>0</v>
      </c>
      <c r="M7" s="296"/>
      <c r="N7" s="296"/>
    </row>
    <row r="8" spans="2:14" ht="16.5">
      <c r="B8" s="293" t="s">
        <v>47</v>
      </c>
      <c r="C8" s="333">
        <f>'Data input'!D20</f>
        <v>0</v>
      </c>
      <c r="D8" s="333">
        <f>'Data input'!E20</f>
        <v>0.0024999999999999996</v>
      </c>
      <c r="E8" s="333">
        <f>'Data input'!F20</f>
        <v>0</v>
      </c>
      <c r="F8" s="333">
        <f>'Data input'!G20</f>
        <v>0.0225</v>
      </c>
      <c r="G8" s="333">
        <f>'Data input'!H20</f>
        <v>0</v>
      </c>
      <c r="H8" s="333">
        <f>'Data input'!I20</f>
        <v>0.1</v>
      </c>
      <c r="I8" s="334" t="str">
        <f>'Data input'!J20</f>
        <v>kg/day</v>
      </c>
      <c r="J8" s="30"/>
      <c r="K8" s="268" t="s">
        <v>50</v>
      </c>
      <c r="L8" s="317">
        <f>'Agricultural soils'!D217</f>
        <v>53.71223442610097</v>
      </c>
      <c r="M8" s="296"/>
      <c r="N8" s="296"/>
    </row>
    <row r="9" spans="2:14" ht="16.5">
      <c r="B9" s="293" t="s">
        <v>49</v>
      </c>
      <c r="C9" s="335">
        <f>'Data input'!D26</f>
        <v>1.925</v>
      </c>
      <c r="D9" s="335">
        <f>'Data input'!E26</f>
        <v>2.25</v>
      </c>
      <c r="E9" s="335">
        <f>'Data input'!F26</f>
        <v>1.925</v>
      </c>
      <c r="F9" s="335">
        <f>'Data input'!G26</f>
        <v>2.175</v>
      </c>
      <c r="G9" s="335">
        <f>'Data input'!H26</f>
        <v>1.8</v>
      </c>
      <c r="H9" s="335">
        <f>'Data input'!I26</f>
        <v>2</v>
      </c>
      <c r="I9" s="336" t="str">
        <f>'Data input'!J26</f>
        <v>t/ha</v>
      </c>
      <c r="J9" s="30"/>
      <c r="K9" s="268" t="s">
        <v>52</v>
      </c>
      <c r="L9" s="317">
        <f>'Agricultural soils'!C121</f>
        <v>40.149771609444464</v>
      </c>
      <c r="M9" s="296"/>
      <c r="N9" s="296"/>
    </row>
    <row r="10" spans="2:14" ht="17.25" customHeight="1">
      <c r="B10" s="380" t="s">
        <v>51</v>
      </c>
      <c r="C10" s="381"/>
      <c r="D10" s="381"/>
      <c r="E10" s="381"/>
      <c r="F10" s="381">
        <f>'Data input'!G32</f>
        <v>1</v>
      </c>
      <c r="G10" s="381"/>
      <c r="H10" s="381"/>
      <c r="I10" s="382"/>
      <c r="K10" s="266" t="s">
        <v>54</v>
      </c>
      <c r="L10" s="322">
        <f>-1*Trees!F29*'Data summary'!C21</f>
        <v>-582.75</v>
      </c>
      <c r="M10" s="296"/>
      <c r="N10" s="296"/>
    </row>
    <row r="11" spans="2:14" ht="18" customHeight="1">
      <c r="B11" s="392" t="s">
        <v>429</v>
      </c>
      <c r="C11" s="393"/>
      <c r="D11" s="393"/>
      <c r="E11" s="393"/>
      <c r="F11" s="393">
        <f>'Data input'!G38</f>
        <v>0.8</v>
      </c>
      <c r="G11" s="393"/>
      <c r="H11" s="393"/>
      <c r="I11" s="394"/>
      <c r="K11" s="320" t="s">
        <v>55</v>
      </c>
      <c r="L11" s="318">
        <f>SUM(L4:L10)</f>
        <v>65.2404342549836</v>
      </c>
      <c r="M11" s="296"/>
      <c r="N11" s="296"/>
    </row>
    <row r="12" spans="2:14" ht="16.5" customHeight="1">
      <c r="B12" s="380" t="s">
        <v>53</v>
      </c>
      <c r="C12" s="383">
        <f>'Data input'!D44</f>
        <v>11.5</v>
      </c>
      <c r="D12" s="383">
        <f>'Data input'!E44</f>
        <v>11.5</v>
      </c>
      <c r="E12" s="383">
        <f>'Data input'!F44</f>
        <v>11.5</v>
      </c>
      <c r="F12" s="383">
        <f>'Data input'!G44</f>
        <v>11.5</v>
      </c>
      <c r="G12" s="383">
        <f>'Data input'!H44</f>
        <v>11.5</v>
      </c>
      <c r="H12" s="383">
        <f>'Data input'!I44</f>
        <v>12.25</v>
      </c>
      <c r="I12" s="384" t="str">
        <f>'Data input'!J44</f>
        <v>%</v>
      </c>
      <c r="K12" s="269" t="s">
        <v>56</v>
      </c>
      <c r="L12" s="323">
        <f>C25*C24/100*-1</f>
        <v>-6.1359</v>
      </c>
      <c r="M12" s="296"/>
      <c r="N12" s="296"/>
    </row>
    <row r="13" spans="2:14" ht="17.25" customHeight="1">
      <c r="B13" s="385" t="s">
        <v>411</v>
      </c>
      <c r="C13" s="386">
        <f>'Data input'!D50</f>
        <v>62.5</v>
      </c>
      <c r="D13" s="386">
        <f>'Data input'!E50</f>
        <v>62.5</v>
      </c>
      <c r="E13" s="386">
        <f>'Data input'!F50</f>
        <v>62.5</v>
      </c>
      <c r="F13" s="386">
        <f>'Data input'!G50</f>
        <v>62.5</v>
      </c>
      <c r="G13" s="386">
        <f>'Data input'!H50</f>
        <v>62.5</v>
      </c>
      <c r="H13" s="386">
        <f>'Data input'!I50</f>
        <v>62.5</v>
      </c>
      <c r="I13" s="387" t="str">
        <f>'Data input'!J50</f>
        <v>%</v>
      </c>
      <c r="K13" s="269" t="s">
        <v>59</v>
      </c>
      <c r="L13" s="321">
        <f>SUM(L4:L10,L12)</f>
        <v>59.1045342549836</v>
      </c>
      <c r="M13" s="296"/>
      <c r="N13" s="296"/>
    </row>
    <row r="14" spans="2:9" ht="15.75" customHeight="1">
      <c r="B14" s="388" t="s">
        <v>60</v>
      </c>
      <c r="C14" s="389">
        <f>'Data input'!C56</f>
        <v>0</v>
      </c>
      <c r="D14" s="390"/>
      <c r="E14" s="390"/>
      <c r="F14" s="390"/>
      <c r="G14" s="390"/>
      <c r="H14" s="390"/>
      <c r="I14" s="391" t="s">
        <v>58</v>
      </c>
    </row>
    <row r="15" spans="2:9" ht="20.25" customHeight="1">
      <c r="B15" s="293" t="s">
        <v>57</v>
      </c>
      <c r="C15" s="294">
        <f>'Data input'!C57</f>
        <v>1400</v>
      </c>
      <c r="D15" s="295"/>
      <c r="E15" s="295"/>
      <c r="F15" s="295"/>
      <c r="G15" s="295"/>
      <c r="H15" s="295"/>
      <c r="I15" s="297" t="s">
        <v>58</v>
      </c>
    </row>
    <row r="16" spans="2:9" ht="15.75" customHeight="1">
      <c r="B16" s="293" t="s">
        <v>62</v>
      </c>
      <c r="C16" s="294">
        <f>'Data input'!D63</f>
        <v>0</v>
      </c>
      <c r="D16" s="295"/>
      <c r="E16" s="295"/>
      <c r="F16" s="295"/>
      <c r="G16" s="295"/>
      <c r="H16" s="295"/>
      <c r="I16" s="297" t="s">
        <v>420</v>
      </c>
    </row>
    <row r="17" spans="2:9" ht="18" customHeight="1">
      <c r="B17" s="300" t="s">
        <v>61</v>
      </c>
      <c r="C17" s="301">
        <f>'Data input'!D69</f>
        <v>0</v>
      </c>
      <c r="D17" s="302"/>
      <c r="E17" s="302"/>
      <c r="F17" s="302"/>
      <c r="G17" s="302"/>
      <c r="H17" s="302"/>
      <c r="I17" s="307" t="s">
        <v>420</v>
      </c>
    </row>
    <row r="18" spans="2:9" ht="18" customHeight="1">
      <c r="B18" s="303" t="s">
        <v>63</v>
      </c>
      <c r="C18" s="304">
        <f>'Data input'!C71</f>
        <v>5000</v>
      </c>
      <c r="D18" s="305"/>
      <c r="E18" s="305"/>
      <c r="F18" s="305"/>
      <c r="G18" s="305"/>
      <c r="H18" s="305"/>
      <c r="I18" s="306" t="s">
        <v>64</v>
      </c>
    </row>
    <row r="19" spans="2:9" ht="15" customHeight="1">
      <c r="B19" s="300" t="s">
        <v>65</v>
      </c>
      <c r="C19" s="301">
        <f>'Data input'!C72</f>
        <v>43248</v>
      </c>
      <c r="D19" s="302"/>
      <c r="E19" s="302"/>
      <c r="F19" s="302"/>
      <c r="G19" s="302"/>
      <c r="H19" s="302"/>
      <c r="I19" s="307" t="s">
        <v>66</v>
      </c>
    </row>
    <row r="20" spans="2:9" ht="18.75" customHeight="1">
      <c r="B20" s="308" t="s">
        <v>67</v>
      </c>
      <c r="C20" s="345">
        <f>'Data input'!M29</f>
        <v>2</v>
      </c>
      <c r="D20" s="304" t="str">
        <f>VLOOKUP(C20,'Electicity &amp; Diesel'!A38:B45,2,FALSE)</f>
        <v>Brown Coal-Victorian </v>
      </c>
      <c r="E20" s="305"/>
      <c r="F20" s="305"/>
      <c r="G20" s="305"/>
      <c r="H20" s="305"/>
      <c r="I20" s="309"/>
    </row>
    <row r="21" spans="2:9" ht="18" customHeight="1">
      <c r="B21" s="293" t="s">
        <v>68</v>
      </c>
      <c r="C21" s="294">
        <f>'Data input'!C73</f>
        <v>100</v>
      </c>
      <c r="D21" s="298"/>
      <c r="E21" s="295"/>
      <c r="F21" s="295"/>
      <c r="G21" s="295"/>
      <c r="H21" s="295"/>
      <c r="I21" s="297" t="s">
        <v>58</v>
      </c>
    </row>
    <row r="22" spans="2:9" ht="18.75" customHeight="1">
      <c r="B22" s="293" t="s">
        <v>69</v>
      </c>
      <c r="C22" s="346">
        <f>'Data input'!M32</f>
        <v>13</v>
      </c>
      <c r="D22" s="295" t="str">
        <f>VLOOKUP(C22,Trees!A12:B25,2,FALSE)</f>
        <v>Eucalyptus cladocalyx - Sugar gum</v>
      </c>
      <c r="E22" s="295"/>
      <c r="F22" s="295"/>
      <c r="G22" s="295"/>
      <c r="H22" s="295"/>
      <c r="I22" s="299"/>
    </row>
    <row r="23" spans="2:9" ht="20.25" customHeight="1">
      <c r="B23" s="300" t="s">
        <v>70</v>
      </c>
      <c r="C23" s="347">
        <f>'Data input'!M35</f>
        <v>2</v>
      </c>
      <c r="D23" s="302" t="str">
        <f>VLOOKUP(C23,Trees!A28:B30,2,FALSE)</f>
        <v>Med (500 - 700)</v>
      </c>
      <c r="E23" s="302"/>
      <c r="F23" s="302"/>
      <c r="G23" s="302"/>
      <c r="H23" s="302"/>
      <c r="I23" s="337"/>
    </row>
    <row r="24" spans="2:9" ht="18" customHeight="1">
      <c r="B24" s="293" t="s">
        <v>71</v>
      </c>
      <c r="C24" s="294">
        <f>'Data input'!C75</f>
        <v>45.2</v>
      </c>
      <c r="D24" s="295"/>
      <c r="E24" s="295"/>
      <c r="F24" s="295"/>
      <c r="G24" s="295"/>
      <c r="H24" s="295"/>
      <c r="I24" s="338" t="s">
        <v>72</v>
      </c>
    </row>
    <row r="25" spans="2:9" ht="16.5" customHeight="1">
      <c r="B25" s="300" t="s">
        <v>415</v>
      </c>
      <c r="C25" s="339">
        <f>'Data input'!C78</f>
        <v>13.575000000000001</v>
      </c>
      <c r="D25" s="302"/>
      <c r="E25" s="340" t="s">
        <v>74</v>
      </c>
      <c r="F25" s="302"/>
      <c r="G25" s="302"/>
      <c r="H25" s="302"/>
      <c r="I25" s="307" t="s">
        <v>414</v>
      </c>
    </row>
    <row r="26" ht="16.5" customHeight="1"/>
    <row r="27" ht="15"/>
    <row r="28" ht="15"/>
    <row r="29" ht="15"/>
    <row r="30" ht="15">
      <c r="D30" s="32"/>
    </row>
    <row r="31" ht="15">
      <c r="D31" s="32"/>
    </row>
    <row r="32" ht="15">
      <c r="D32" s="32"/>
    </row>
    <row r="33" ht="15" hidden="1">
      <c r="D33" s="32"/>
    </row>
    <row r="34" ht="15" hidden="1">
      <c r="D34" s="32"/>
    </row>
    <row r="35" ht="15" hidden="1">
      <c r="D35" s="32"/>
    </row>
    <row r="36" ht="15" hidden="1">
      <c r="D36" s="32"/>
    </row>
    <row r="37" ht="15" hidden="1">
      <c r="D37" s="32"/>
    </row>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sheetData>
  <sheetProtection sheet="1"/>
  <mergeCells count="1">
    <mergeCell ref="C3:D3"/>
  </mergeCells>
  <printOptions/>
  <pageMargins left="0.7500000000000001" right="0.7500000000000001" top="1" bottom="1" header="0.5" footer="0.5"/>
  <pageSetup fitToHeight="0" fitToWidth="0" orientation="landscape" paperSize="9" scale="85"/>
  <drawing r:id="rId1"/>
</worksheet>
</file>

<file path=xl/worksheets/sheet3.xml><?xml version="1.0" encoding="utf-8"?>
<worksheet xmlns="http://schemas.openxmlformats.org/spreadsheetml/2006/main" xmlns:r="http://schemas.openxmlformats.org/officeDocument/2006/relationships">
  <dimension ref="B1:T94"/>
  <sheetViews>
    <sheetView showGridLines="0" zoomScale="80" zoomScaleNormal="80" zoomScalePageLayoutView="0" workbookViewId="0" topLeftCell="A1">
      <selection activeCell="A1" sqref="A1"/>
    </sheetView>
  </sheetViews>
  <sheetFormatPr defaultColWidth="8.8515625" defaultRowHeight="12.75"/>
  <cols>
    <col min="1" max="1" width="2.7109375" style="33" customWidth="1"/>
    <col min="2" max="2" width="35.28125" style="33" customWidth="1"/>
    <col min="3" max="3" width="14.7109375" style="33" customWidth="1"/>
    <col min="4" max="4" width="9.8515625" style="33" bestFit="1" customWidth="1"/>
    <col min="5" max="5" width="10.421875" style="33" customWidth="1"/>
    <col min="6" max="6" width="16.28125" style="33" customWidth="1"/>
    <col min="7" max="7" width="14.140625" style="33" customWidth="1"/>
    <col min="8" max="8" width="12.00390625" style="33" customWidth="1"/>
    <col min="9" max="9" width="19.28125" style="33" customWidth="1"/>
    <col min="10" max="10" width="11.57421875" style="33" customWidth="1"/>
    <col min="11" max="11" width="8.8515625" style="33" customWidth="1"/>
    <col min="12" max="16384" width="8.8515625" style="33" customWidth="1"/>
  </cols>
  <sheetData>
    <row r="1" spans="2:12" ht="30" customHeight="1">
      <c r="B1" s="34" t="s">
        <v>75</v>
      </c>
      <c r="H1" s="226" t="s">
        <v>27</v>
      </c>
      <c r="I1" s="399" t="s">
        <v>76</v>
      </c>
      <c r="J1" s="400"/>
      <c r="K1" s="292"/>
      <c r="L1" s="292"/>
    </row>
    <row r="2" spans="2:11" ht="15.75" customHeight="1">
      <c r="B2" s="34"/>
      <c r="J2" s="379"/>
      <c r="K2" s="378"/>
    </row>
    <row r="3" spans="2:20" s="35" customFormat="1" ht="17.25" customHeight="1">
      <c r="B3" s="36"/>
      <c r="C3" s="37" t="s">
        <v>105</v>
      </c>
      <c r="D3" s="38" t="s">
        <v>32</v>
      </c>
      <c r="E3" s="38" t="s">
        <v>33</v>
      </c>
      <c r="F3" s="39" t="s">
        <v>34</v>
      </c>
      <c r="G3" s="40" t="s">
        <v>35</v>
      </c>
      <c r="H3" s="38" t="s">
        <v>36</v>
      </c>
      <c r="I3" s="40" t="s">
        <v>37</v>
      </c>
      <c r="J3" s="41" t="s">
        <v>38</v>
      </c>
      <c r="L3" s="33" t="s">
        <v>77</v>
      </c>
      <c r="M3" s="33"/>
      <c r="N3" s="33"/>
      <c r="O3" s="33"/>
      <c r="P3" s="33"/>
      <c r="Q3" s="33"/>
      <c r="R3" s="33"/>
      <c r="S3" s="33"/>
      <c r="T3" s="33"/>
    </row>
    <row r="4" spans="2:15" ht="15.75">
      <c r="B4" s="42" t="s">
        <v>41</v>
      </c>
      <c r="C4" s="43" t="s">
        <v>78</v>
      </c>
      <c r="D4" s="44">
        <v>50</v>
      </c>
      <c r="E4" s="44">
        <v>2000</v>
      </c>
      <c r="F4" s="44">
        <v>500</v>
      </c>
      <c r="G4" s="44">
        <v>500</v>
      </c>
      <c r="H4" s="44">
        <v>0</v>
      </c>
      <c r="I4" s="44">
        <v>0</v>
      </c>
      <c r="J4" s="45" t="s">
        <v>79</v>
      </c>
      <c r="L4" s="44"/>
      <c r="M4" s="397">
        <v>1</v>
      </c>
      <c r="N4" s="44"/>
      <c r="O4" s="44"/>
    </row>
    <row r="5" spans="2:10" ht="15.75">
      <c r="B5" s="46"/>
      <c r="C5" s="43" t="s">
        <v>80</v>
      </c>
      <c r="D5" s="44">
        <v>50</v>
      </c>
      <c r="E5" s="44">
        <v>2000</v>
      </c>
      <c r="F5" s="44">
        <v>500</v>
      </c>
      <c r="G5" s="44">
        <v>500</v>
      </c>
      <c r="H5" s="44">
        <v>0</v>
      </c>
      <c r="I5" s="44">
        <v>0</v>
      </c>
      <c r="J5" s="45" t="s">
        <v>79</v>
      </c>
    </row>
    <row r="6" spans="2:12" ht="15.75">
      <c r="B6" s="46"/>
      <c r="C6" s="43" t="s">
        <v>81</v>
      </c>
      <c r="D6" s="44">
        <v>50</v>
      </c>
      <c r="E6" s="44">
        <v>2000</v>
      </c>
      <c r="F6" s="44">
        <v>500</v>
      </c>
      <c r="G6" s="44">
        <v>500</v>
      </c>
      <c r="H6" s="44">
        <v>0</v>
      </c>
      <c r="I6" s="44">
        <v>0</v>
      </c>
      <c r="J6" s="45" t="s">
        <v>79</v>
      </c>
      <c r="L6" s="33" t="s">
        <v>82</v>
      </c>
    </row>
    <row r="7" spans="2:14" ht="15.75">
      <c r="B7" s="46"/>
      <c r="C7" s="43" t="s">
        <v>83</v>
      </c>
      <c r="D7" s="44">
        <v>50</v>
      </c>
      <c r="E7" s="44">
        <v>2000</v>
      </c>
      <c r="F7" s="44">
        <v>500</v>
      </c>
      <c r="G7" s="44">
        <v>500</v>
      </c>
      <c r="H7" s="44">
        <v>0</v>
      </c>
      <c r="I7" s="44">
        <v>0</v>
      </c>
      <c r="J7" s="45" t="s">
        <v>79</v>
      </c>
      <c r="M7" s="47" t="s">
        <v>84</v>
      </c>
      <c r="N7" s="33" t="s">
        <v>85</v>
      </c>
    </row>
    <row r="8" spans="2:13" ht="15.75">
      <c r="B8" s="48"/>
      <c r="C8" s="49" t="s">
        <v>86</v>
      </c>
      <c r="D8" s="50">
        <f aca="true" t="shared" si="0" ref="D8:I8">AVERAGE(D4:D7)</f>
        <v>50</v>
      </c>
      <c r="E8" s="50">
        <f t="shared" si="0"/>
        <v>2000</v>
      </c>
      <c r="F8" s="50">
        <f t="shared" si="0"/>
        <v>500</v>
      </c>
      <c r="G8" s="50">
        <f t="shared" si="0"/>
        <v>500</v>
      </c>
      <c r="H8" s="50">
        <f t="shared" si="0"/>
        <v>0</v>
      </c>
      <c r="I8" s="50">
        <f t="shared" si="0"/>
        <v>0</v>
      </c>
      <c r="J8" s="51" t="s">
        <v>79</v>
      </c>
      <c r="L8" s="52"/>
      <c r="M8" s="52"/>
    </row>
    <row r="9" spans="2:13" ht="13.5" customHeight="1">
      <c r="B9" s="43"/>
      <c r="C9" s="43"/>
      <c r="D9" s="43"/>
      <c r="E9" s="43"/>
      <c r="F9" s="43"/>
      <c r="G9" s="43"/>
      <c r="H9" s="43"/>
      <c r="I9" s="43"/>
      <c r="J9" s="53"/>
      <c r="L9" s="52"/>
      <c r="M9" s="52"/>
    </row>
    <row r="10" spans="2:13" ht="15.75">
      <c r="B10" s="283" t="s">
        <v>44</v>
      </c>
      <c r="C10" s="286" t="s">
        <v>78</v>
      </c>
      <c r="D10" s="350">
        <v>70</v>
      </c>
      <c r="E10" s="350">
        <v>60</v>
      </c>
      <c r="F10" s="350">
        <v>45</v>
      </c>
      <c r="G10" s="350">
        <v>50</v>
      </c>
      <c r="H10" s="350">
        <v>50</v>
      </c>
      <c r="I10" s="350">
        <v>20</v>
      </c>
      <c r="J10" s="351" t="s">
        <v>417</v>
      </c>
      <c r="L10" s="33" t="s">
        <v>87</v>
      </c>
      <c r="M10" s="52"/>
    </row>
    <row r="11" spans="2:10" ht="15.75">
      <c r="B11" s="352"/>
      <c r="C11" s="281" t="s">
        <v>80</v>
      </c>
      <c r="D11" s="349">
        <v>65</v>
      </c>
      <c r="E11" s="349">
        <v>55</v>
      </c>
      <c r="F11" s="349">
        <v>45</v>
      </c>
      <c r="G11" s="349">
        <v>50</v>
      </c>
      <c r="H11" s="349">
        <v>50</v>
      </c>
      <c r="I11" s="349">
        <v>25</v>
      </c>
      <c r="J11" s="353" t="s">
        <v>417</v>
      </c>
    </row>
    <row r="12" spans="2:10" ht="15.75">
      <c r="B12" s="352"/>
      <c r="C12" s="281" t="s">
        <v>81</v>
      </c>
      <c r="D12" s="349">
        <v>65</v>
      </c>
      <c r="E12" s="349">
        <v>52</v>
      </c>
      <c r="F12" s="349">
        <v>43</v>
      </c>
      <c r="G12" s="349">
        <v>48</v>
      </c>
      <c r="H12" s="349">
        <v>50</v>
      </c>
      <c r="I12" s="349">
        <v>30</v>
      </c>
      <c r="J12" s="353" t="s">
        <v>417</v>
      </c>
    </row>
    <row r="13" spans="2:10" ht="15.75">
      <c r="B13" s="352"/>
      <c r="C13" s="281" t="s">
        <v>83</v>
      </c>
      <c r="D13" s="349">
        <v>65</v>
      </c>
      <c r="E13" s="349">
        <v>50</v>
      </c>
      <c r="F13" s="349">
        <v>43</v>
      </c>
      <c r="G13" s="349">
        <v>48</v>
      </c>
      <c r="H13" s="349">
        <v>50</v>
      </c>
      <c r="I13" s="349">
        <v>40</v>
      </c>
      <c r="J13" s="353" t="s">
        <v>417</v>
      </c>
    </row>
    <row r="14" spans="2:10" ht="15.75">
      <c r="B14" s="354"/>
      <c r="C14" s="290" t="s">
        <v>86</v>
      </c>
      <c r="D14" s="290">
        <f aca="true" t="shared" si="1" ref="D14:I14">AVERAGE(D10:D13)</f>
        <v>66.25</v>
      </c>
      <c r="E14" s="290">
        <f t="shared" si="1"/>
        <v>54.25</v>
      </c>
      <c r="F14" s="290">
        <f t="shared" si="1"/>
        <v>44</v>
      </c>
      <c r="G14" s="290">
        <f t="shared" si="1"/>
        <v>49</v>
      </c>
      <c r="H14" s="290">
        <f t="shared" si="1"/>
        <v>50</v>
      </c>
      <c r="I14" s="290">
        <f t="shared" si="1"/>
        <v>28.75</v>
      </c>
      <c r="J14" s="355" t="s">
        <v>417</v>
      </c>
    </row>
    <row r="15" spans="2:10" ht="18" customHeight="1">
      <c r="B15" s="43"/>
      <c r="C15" s="43"/>
      <c r="D15" s="43"/>
      <c r="E15" s="43"/>
      <c r="F15" s="43"/>
      <c r="G15" s="43"/>
      <c r="H15" s="43"/>
      <c r="I15" s="43"/>
      <c r="J15" s="53"/>
    </row>
    <row r="16" spans="2:10" ht="15.75">
      <c r="B16" s="54" t="s">
        <v>416</v>
      </c>
      <c r="C16" s="55" t="s">
        <v>78</v>
      </c>
      <c r="D16" s="56">
        <v>0.05</v>
      </c>
      <c r="E16" s="58">
        <v>0.11</v>
      </c>
      <c r="F16" s="56">
        <v>0.02</v>
      </c>
      <c r="G16" s="56">
        <v>0.11</v>
      </c>
      <c r="H16" s="56">
        <v>0</v>
      </c>
      <c r="I16" s="56">
        <v>0.2</v>
      </c>
      <c r="J16" s="57" t="s">
        <v>88</v>
      </c>
    </row>
    <row r="17" spans="2:10" ht="15.75">
      <c r="B17" s="46"/>
      <c r="C17" s="43" t="s">
        <v>80</v>
      </c>
      <c r="D17" s="59">
        <v>-0.05</v>
      </c>
      <c r="E17" s="59">
        <v>-0.05</v>
      </c>
      <c r="F17" s="59">
        <v>0</v>
      </c>
      <c r="G17" s="59">
        <v>0</v>
      </c>
      <c r="H17" s="59">
        <v>0</v>
      </c>
      <c r="I17" s="59">
        <v>0.05</v>
      </c>
      <c r="J17" s="45" t="s">
        <v>88</v>
      </c>
    </row>
    <row r="18" spans="2:10" ht="15.75">
      <c r="B18" s="46"/>
      <c r="C18" s="43" t="s">
        <v>81</v>
      </c>
      <c r="D18" s="59">
        <v>0</v>
      </c>
      <c r="E18" s="59">
        <v>-0.03</v>
      </c>
      <c r="F18" s="59">
        <v>-0.02</v>
      </c>
      <c r="G18" s="59">
        <v>-0.02</v>
      </c>
      <c r="H18" s="59">
        <v>0</v>
      </c>
      <c r="I18" s="59">
        <v>0.05</v>
      </c>
      <c r="J18" s="45" t="s">
        <v>88</v>
      </c>
    </row>
    <row r="19" spans="2:10" ht="15.75">
      <c r="B19" s="46"/>
      <c r="C19" s="43" t="s">
        <v>83</v>
      </c>
      <c r="D19" s="59">
        <v>0</v>
      </c>
      <c r="E19" s="59">
        <v>-0.02</v>
      </c>
      <c r="F19" s="59">
        <v>0</v>
      </c>
      <c r="G19" s="59">
        <v>0</v>
      </c>
      <c r="H19" s="59">
        <v>0</v>
      </c>
      <c r="I19" s="59">
        <v>0.1</v>
      </c>
      <c r="J19" s="45" t="s">
        <v>88</v>
      </c>
    </row>
    <row r="20" spans="2:10" ht="15.75">
      <c r="B20" s="48"/>
      <c r="C20" s="49" t="s">
        <v>86</v>
      </c>
      <c r="D20" s="60">
        <f aca="true" t="shared" si="2" ref="D20:I20">AVERAGE(D16:D19)</f>
        <v>0</v>
      </c>
      <c r="E20" s="60">
        <f t="shared" si="2"/>
        <v>0.0024999999999999996</v>
      </c>
      <c r="F20" s="60">
        <f t="shared" si="2"/>
        <v>0</v>
      </c>
      <c r="G20" s="60">
        <f t="shared" si="2"/>
        <v>0.0225</v>
      </c>
      <c r="H20" s="60">
        <f t="shared" si="2"/>
        <v>0</v>
      </c>
      <c r="I20" s="60">
        <f t="shared" si="2"/>
        <v>0.1</v>
      </c>
      <c r="J20" s="51" t="s">
        <v>88</v>
      </c>
    </row>
    <row r="21" spans="2:10" ht="15" customHeight="1">
      <c r="B21" s="43"/>
      <c r="C21" s="43"/>
      <c r="D21" s="43"/>
      <c r="E21" s="43"/>
      <c r="F21" s="43"/>
      <c r="G21" s="43"/>
      <c r="H21" s="43"/>
      <c r="I21" s="43"/>
      <c r="J21" s="53"/>
    </row>
    <row r="22" spans="2:10" ht="15.75">
      <c r="B22" s="54" t="s">
        <v>49</v>
      </c>
      <c r="C22" s="55" t="s">
        <v>78</v>
      </c>
      <c r="D22" s="56">
        <v>3.2</v>
      </c>
      <c r="E22" s="56">
        <v>3.2</v>
      </c>
      <c r="F22" s="56">
        <v>3.2</v>
      </c>
      <c r="G22" s="56">
        <v>3.2</v>
      </c>
      <c r="H22" s="56">
        <v>3.2</v>
      </c>
      <c r="I22" s="56">
        <v>3.2</v>
      </c>
      <c r="J22" s="57" t="s">
        <v>89</v>
      </c>
    </row>
    <row r="23" spans="2:10" ht="15.75">
      <c r="B23" s="46"/>
      <c r="C23" s="43" t="s">
        <v>80</v>
      </c>
      <c r="D23" s="44">
        <v>2</v>
      </c>
      <c r="E23" s="44">
        <v>3</v>
      </c>
      <c r="F23" s="44">
        <v>2</v>
      </c>
      <c r="G23" s="44">
        <v>2</v>
      </c>
      <c r="H23" s="44">
        <v>2</v>
      </c>
      <c r="I23" s="44">
        <v>2</v>
      </c>
      <c r="J23" s="45" t="s">
        <v>89</v>
      </c>
    </row>
    <row r="24" spans="2:10" ht="15.75">
      <c r="B24" s="46"/>
      <c r="C24" s="43" t="s">
        <v>81</v>
      </c>
      <c r="D24" s="44">
        <v>1.5</v>
      </c>
      <c r="E24" s="44">
        <v>1.8</v>
      </c>
      <c r="F24" s="44">
        <v>1.5</v>
      </c>
      <c r="G24" s="44">
        <v>2</v>
      </c>
      <c r="H24" s="44">
        <v>1</v>
      </c>
      <c r="I24" s="44">
        <v>1.8</v>
      </c>
      <c r="J24" s="45" t="s">
        <v>89</v>
      </c>
    </row>
    <row r="25" spans="2:10" ht="15.75">
      <c r="B25" s="46"/>
      <c r="C25" s="43" t="s">
        <v>83</v>
      </c>
      <c r="D25" s="44">
        <v>1</v>
      </c>
      <c r="E25" s="44">
        <v>1</v>
      </c>
      <c r="F25" s="44">
        <v>1</v>
      </c>
      <c r="G25" s="44">
        <v>1.5</v>
      </c>
      <c r="H25" s="44">
        <v>1</v>
      </c>
      <c r="I25" s="44">
        <v>1</v>
      </c>
      <c r="J25" s="45" t="s">
        <v>89</v>
      </c>
    </row>
    <row r="26" spans="2:10" ht="15.75">
      <c r="B26" s="48"/>
      <c r="C26" s="49" t="s">
        <v>86</v>
      </c>
      <c r="D26" s="61">
        <f aca="true" t="shared" si="3" ref="D26:I26">AVERAGE(D22:D25)</f>
        <v>1.925</v>
      </c>
      <c r="E26" s="61">
        <f t="shared" si="3"/>
        <v>2.25</v>
      </c>
      <c r="F26" s="61">
        <f t="shared" si="3"/>
        <v>1.925</v>
      </c>
      <c r="G26" s="61">
        <f t="shared" si="3"/>
        <v>2.175</v>
      </c>
      <c r="H26" s="61">
        <f t="shared" si="3"/>
        <v>1.8</v>
      </c>
      <c r="I26" s="61">
        <f t="shared" si="3"/>
        <v>2</v>
      </c>
      <c r="J26" s="51" t="s">
        <v>89</v>
      </c>
    </row>
    <row r="27" spans="2:10" ht="17.25" customHeight="1">
      <c r="B27" s="43"/>
      <c r="C27" s="43"/>
      <c r="D27" s="43"/>
      <c r="E27" s="43"/>
      <c r="F27" s="43"/>
      <c r="G27" s="43"/>
      <c r="H27" s="43"/>
      <c r="I27" s="43"/>
      <c r="J27" s="53"/>
    </row>
    <row r="28" spans="2:12" ht="15.75">
      <c r="B28" s="54" t="s">
        <v>51</v>
      </c>
      <c r="C28" s="55" t="s">
        <v>78</v>
      </c>
      <c r="D28" s="55"/>
      <c r="E28" s="55"/>
      <c r="F28" s="55"/>
      <c r="G28" s="56">
        <v>0.75</v>
      </c>
      <c r="H28" s="55"/>
      <c r="I28" s="55"/>
      <c r="J28" s="57"/>
      <c r="L28" s="33" t="s">
        <v>90</v>
      </c>
    </row>
    <row r="29" spans="2:15" ht="15.75">
      <c r="B29" s="62" t="s">
        <v>431</v>
      </c>
      <c r="C29" s="43" t="s">
        <v>80</v>
      </c>
      <c r="D29" s="43"/>
      <c r="E29" s="43"/>
      <c r="F29" s="43"/>
      <c r="G29" s="44">
        <v>0</v>
      </c>
      <c r="H29" s="43"/>
      <c r="I29" s="43"/>
      <c r="J29" s="45"/>
      <c r="L29" s="44"/>
      <c r="M29" s="64">
        <v>2</v>
      </c>
      <c r="N29" s="44"/>
      <c r="O29" s="44"/>
    </row>
    <row r="30" spans="2:10" ht="15.75">
      <c r="B30" s="62" t="s">
        <v>430</v>
      </c>
      <c r="C30" s="43" t="s">
        <v>81</v>
      </c>
      <c r="D30" s="43"/>
      <c r="E30" s="43"/>
      <c r="F30" s="43"/>
      <c r="G30" s="44">
        <v>0</v>
      </c>
      <c r="H30" s="43"/>
      <c r="I30" s="43"/>
      <c r="J30" s="45"/>
    </row>
    <row r="31" spans="2:12" ht="15.75">
      <c r="B31" s="62"/>
      <c r="C31" s="43" t="s">
        <v>83</v>
      </c>
      <c r="D31" s="43"/>
      <c r="E31" s="43"/>
      <c r="F31" s="43"/>
      <c r="G31" s="44">
        <v>0.25</v>
      </c>
      <c r="H31" s="43"/>
      <c r="I31" s="43"/>
      <c r="J31" s="45"/>
      <c r="L31" s="33" t="s">
        <v>91</v>
      </c>
    </row>
    <row r="32" spans="2:16" ht="15.75">
      <c r="B32" s="48"/>
      <c r="C32" s="49" t="s">
        <v>231</v>
      </c>
      <c r="D32" s="49"/>
      <c r="E32" s="49"/>
      <c r="F32" s="49"/>
      <c r="G32" s="63">
        <f>SUM(G28:G31)</f>
        <v>1</v>
      </c>
      <c r="H32" s="49"/>
      <c r="I32" s="49"/>
      <c r="J32" s="51"/>
      <c r="L32" s="44"/>
      <c r="M32" s="64">
        <v>13</v>
      </c>
      <c r="N32" s="44"/>
      <c r="O32" s="44"/>
      <c r="P32" s="44"/>
    </row>
    <row r="33" spans="2:10" ht="15.75">
      <c r="B33" s="43"/>
      <c r="C33" s="43"/>
      <c r="D33" s="43"/>
      <c r="E33" s="43"/>
      <c r="F33" s="43"/>
      <c r="G33" s="64"/>
      <c r="H33" s="43"/>
      <c r="I33" s="43"/>
      <c r="J33" s="53"/>
    </row>
    <row r="34" spans="2:12" ht="15.75">
      <c r="B34" s="54" t="s">
        <v>92</v>
      </c>
      <c r="C34" s="55" t="s">
        <v>78</v>
      </c>
      <c r="D34" s="55"/>
      <c r="E34" s="55"/>
      <c r="F34" s="55"/>
      <c r="G34" s="395">
        <v>0.8</v>
      </c>
      <c r="H34" s="55"/>
      <c r="I34" s="55"/>
      <c r="J34" s="57"/>
      <c r="L34" s="33" t="s">
        <v>93</v>
      </c>
    </row>
    <row r="35" spans="2:15" ht="15.75">
      <c r="B35" s="62" t="s">
        <v>434</v>
      </c>
      <c r="C35" s="43" t="s">
        <v>80</v>
      </c>
      <c r="D35" s="43"/>
      <c r="E35" s="43"/>
      <c r="F35" s="43"/>
      <c r="G35" s="396">
        <v>0.8</v>
      </c>
      <c r="H35" s="43"/>
      <c r="I35" s="43"/>
      <c r="J35" s="45"/>
      <c r="L35" s="44"/>
      <c r="M35" s="64">
        <v>2</v>
      </c>
      <c r="N35" s="44"/>
      <c r="O35" s="44"/>
    </row>
    <row r="36" spans="2:10" ht="15.75">
      <c r="B36" s="62" t="s">
        <v>432</v>
      </c>
      <c r="C36" s="43" t="s">
        <v>81</v>
      </c>
      <c r="D36" s="43"/>
      <c r="E36" s="43"/>
      <c r="F36" s="43"/>
      <c r="G36" s="396">
        <v>0.8</v>
      </c>
      <c r="H36" s="43"/>
      <c r="I36" s="43"/>
      <c r="J36" s="45"/>
    </row>
    <row r="37" spans="2:10" ht="15.75">
      <c r="B37" s="62" t="s">
        <v>433</v>
      </c>
      <c r="C37" s="43" t="s">
        <v>83</v>
      </c>
      <c r="D37" s="43"/>
      <c r="E37" s="43"/>
      <c r="F37" s="43"/>
      <c r="G37" s="396">
        <v>0.8</v>
      </c>
      <c r="H37" s="43"/>
      <c r="I37" s="43"/>
      <c r="J37" s="45"/>
    </row>
    <row r="38" spans="2:10" ht="15.75">
      <c r="B38" s="48"/>
      <c r="C38" s="49" t="s">
        <v>86</v>
      </c>
      <c r="D38" s="49"/>
      <c r="E38" s="49"/>
      <c r="F38" s="49"/>
      <c r="G38" s="61">
        <f>AVERAGE(G34:G37)</f>
        <v>0.8</v>
      </c>
      <c r="H38" s="49"/>
      <c r="I38" s="49"/>
      <c r="J38" s="51"/>
    </row>
    <row r="39" spans="2:10" ht="12.75" customHeight="1">
      <c r="B39" s="43"/>
      <c r="C39" s="43"/>
      <c r="D39" s="43"/>
      <c r="E39" s="43"/>
      <c r="F39" s="43"/>
      <c r="G39" s="43"/>
      <c r="H39" s="43"/>
      <c r="I39" s="43"/>
      <c r="J39" s="53"/>
    </row>
    <row r="40" spans="2:10" ht="15.75">
      <c r="B40" s="54" t="s">
        <v>94</v>
      </c>
      <c r="C40" s="55" t="s">
        <v>78</v>
      </c>
      <c r="D40" s="56">
        <v>16</v>
      </c>
      <c r="E40" s="56">
        <v>16</v>
      </c>
      <c r="F40" s="56">
        <v>16</v>
      </c>
      <c r="G40" s="56">
        <v>16</v>
      </c>
      <c r="H40" s="56">
        <v>16</v>
      </c>
      <c r="I40" s="56">
        <v>16</v>
      </c>
      <c r="J40" s="57" t="s">
        <v>72</v>
      </c>
    </row>
    <row r="41" spans="2:10" ht="15.75">
      <c r="B41" s="46"/>
      <c r="C41" s="43" t="s">
        <v>80</v>
      </c>
      <c r="D41" s="44">
        <v>7</v>
      </c>
      <c r="E41" s="44">
        <v>7</v>
      </c>
      <c r="F41" s="44">
        <v>7</v>
      </c>
      <c r="G41" s="44">
        <v>7</v>
      </c>
      <c r="H41" s="44">
        <v>7</v>
      </c>
      <c r="I41" s="44">
        <v>10</v>
      </c>
      <c r="J41" s="45" t="s">
        <v>72</v>
      </c>
    </row>
    <row r="42" spans="2:10" ht="15.75">
      <c r="B42" s="46"/>
      <c r="C42" s="43" t="s">
        <v>81</v>
      </c>
      <c r="D42" s="44">
        <v>13</v>
      </c>
      <c r="E42" s="44">
        <v>13</v>
      </c>
      <c r="F42" s="44">
        <v>13</v>
      </c>
      <c r="G42" s="44">
        <v>13</v>
      </c>
      <c r="H42" s="44">
        <v>13</v>
      </c>
      <c r="I42" s="44">
        <v>13</v>
      </c>
      <c r="J42" s="45" t="s">
        <v>72</v>
      </c>
    </row>
    <row r="43" spans="2:10" ht="15.75">
      <c r="B43" s="46"/>
      <c r="C43" s="43" t="s">
        <v>83</v>
      </c>
      <c r="D43" s="44">
        <v>10</v>
      </c>
      <c r="E43" s="44">
        <v>10</v>
      </c>
      <c r="F43" s="44">
        <v>10</v>
      </c>
      <c r="G43" s="44">
        <v>10</v>
      </c>
      <c r="H43" s="44">
        <v>10</v>
      </c>
      <c r="I43" s="44">
        <v>10</v>
      </c>
      <c r="J43" s="45" t="s">
        <v>72</v>
      </c>
    </row>
    <row r="44" spans="2:10" ht="15.75">
      <c r="B44" s="48"/>
      <c r="C44" s="49" t="s">
        <v>86</v>
      </c>
      <c r="D44" s="63">
        <f aca="true" t="shared" si="4" ref="D44:I44">AVERAGE(D40:D43)</f>
        <v>11.5</v>
      </c>
      <c r="E44" s="63">
        <f t="shared" si="4"/>
        <v>11.5</v>
      </c>
      <c r="F44" s="63">
        <f t="shared" si="4"/>
        <v>11.5</v>
      </c>
      <c r="G44" s="63">
        <f t="shared" si="4"/>
        <v>11.5</v>
      </c>
      <c r="H44" s="63">
        <f t="shared" si="4"/>
        <v>11.5</v>
      </c>
      <c r="I44" s="63">
        <f t="shared" si="4"/>
        <v>12.25</v>
      </c>
      <c r="J44" s="51" t="s">
        <v>72</v>
      </c>
    </row>
    <row r="45" spans="2:10" ht="18" customHeight="1">
      <c r="B45" s="43"/>
      <c r="C45" s="43"/>
      <c r="D45" s="43"/>
      <c r="E45" s="43"/>
      <c r="F45" s="43"/>
      <c r="G45" s="43"/>
      <c r="H45" s="43"/>
      <c r="I45" s="43"/>
      <c r="J45" s="53"/>
    </row>
    <row r="46" spans="2:10" ht="15.75">
      <c r="B46" s="54" t="s">
        <v>95</v>
      </c>
      <c r="C46" s="55" t="s">
        <v>78</v>
      </c>
      <c r="D46" s="56">
        <v>70</v>
      </c>
      <c r="E46" s="56">
        <v>70</v>
      </c>
      <c r="F46" s="56">
        <v>70</v>
      </c>
      <c r="G46" s="56">
        <v>70</v>
      </c>
      <c r="H46" s="56">
        <v>70</v>
      </c>
      <c r="I46" s="56">
        <v>70</v>
      </c>
      <c r="J46" s="57" t="s">
        <v>72</v>
      </c>
    </row>
    <row r="47" spans="2:10" ht="15.75">
      <c r="B47" s="46"/>
      <c r="C47" s="43" t="s">
        <v>80</v>
      </c>
      <c r="D47" s="44">
        <v>55</v>
      </c>
      <c r="E47" s="44">
        <v>55</v>
      </c>
      <c r="F47" s="44">
        <v>55</v>
      </c>
      <c r="G47" s="44">
        <v>55</v>
      </c>
      <c r="H47" s="44">
        <v>55</v>
      </c>
      <c r="I47" s="44">
        <v>60</v>
      </c>
      <c r="J47" s="45" t="s">
        <v>72</v>
      </c>
    </row>
    <row r="48" spans="2:10" ht="15.75">
      <c r="B48" s="46"/>
      <c r="C48" s="43" t="s">
        <v>81</v>
      </c>
      <c r="D48" s="44">
        <v>65</v>
      </c>
      <c r="E48" s="44">
        <v>65</v>
      </c>
      <c r="F48" s="44">
        <v>65</v>
      </c>
      <c r="G48" s="44">
        <v>65</v>
      </c>
      <c r="H48" s="44">
        <v>65</v>
      </c>
      <c r="I48" s="44">
        <v>60</v>
      </c>
      <c r="J48" s="45" t="s">
        <v>72</v>
      </c>
    </row>
    <row r="49" spans="2:10" ht="15.75">
      <c r="B49" s="46"/>
      <c r="C49" s="43" t="s">
        <v>83</v>
      </c>
      <c r="D49" s="44">
        <v>60</v>
      </c>
      <c r="E49" s="44">
        <v>60</v>
      </c>
      <c r="F49" s="44">
        <v>60</v>
      </c>
      <c r="G49" s="44">
        <v>60</v>
      </c>
      <c r="H49" s="44">
        <v>60</v>
      </c>
      <c r="I49" s="44">
        <v>60</v>
      </c>
      <c r="J49" s="45" t="s">
        <v>72</v>
      </c>
    </row>
    <row r="50" spans="2:10" ht="15.75">
      <c r="B50" s="48"/>
      <c r="C50" s="49" t="s">
        <v>86</v>
      </c>
      <c r="D50" s="63">
        <f aca="true" t="shared" si="5" ref="D50:I50">AVERAGE(D46:D49)</f>
        <v>62.5</v>
      </c>
      <c r="E50" s="63">
        <f t="shared" si="5"/>
        <v>62.5</v>
      </c>
      <c r="F50" s="63">
        <f t="shared" si="5"/>
        <v>62.5</v>
      </c>
      <c r="G50" s="63">
        <f t="shared" si="5"/>
        <v>62.5</v>
      </c>
      <c r="H50" s="63">
        <f t="shared" si="5"/>
        <v>62.5</v>
      </c>
      <c r="I50" s="63">
        <f t="shared" si="5"/>
        <v>62.5</v>
      </c>
      <c r="J50" s="51" t="s">
        <v>72</v>
      </c>
    </row>
    <row r="51" spans="2:10" ht="15.75">
      <c r="B51" s="43"/>
      <c r="C51" s="43"/>
      <c r="D51" s="64"/>
      <c r="E51" s="64"/>
      <c r="F51" s="64"/>
      <c r="G51" s="64"/>
      <c r="H51" s="64"/>
      <c r="I51" s="64"/>
      <c r="J51" s="53"/>
    </row>
    <row r="52" spans="2:10" ht="15.75">
      <c r="B52" s="66" t="s">
        <v>97</v>
      </c>
      <c r="C52" s="67"/>
      <c r="D52" s="68">
        <v>6</v>
      </c>
      <c r="E52" s="68">
        <v>6</v>
      </c>
      <c r="F52" s="68">
        <v>5</v>
      </c>
      <c r="G52" s="68">
        <v>5</v>
      </c>
      <c r="H52" s="68">
        <v>6</v>
      </c>
      <c r="I52" s="68">
        <v>2</v>
      </c>
      <c r="J52" s="69" t="s">
        <v>98</v>
      </c>
    </row>
    <row r="53" spans="2:10" ht="15.75">
      <c r="B53" s="43"/>
      <c r="C53" s="43"/>
      <c r="D53" s="43"/>
      <c r="E53" s="43"/>
      <c r="F53" s="43"/>
      <c r="G53" s="43"/>
      <c r="H53" s="43"/>
      <c r="I53" s="43"/>
      <c r="J53" s="53"/>
    </row>
    <row r="54" spans="2:10" ht="15.75">
      <c r="B54" s="66" t="s">
        <v>99</v>
      </c>
      <c r="C54" s="67"/>
      <c r="D54" s="68">
        <v>75</v>
      </c>
      <c r="E54" s="68">
        <v>80</v>
      </c>
      <c r="F54" s="68">
        <v>75</v>
      </c>
      <c r="G54" s="68">
        <v>75</v>
      </c>
      <c r="H54" s="68">
        <v>75</v>
      </c>
      <c r="I54" s="68">
        <v>75</v>
      </c>
      <c r="J54" s="69" t="s">
        <v>72</v>
      </c>
    </row>
    <row r="55" spans="2:10" ht="15.75">
      <c r="B55" s="43"/>
      <c r="C55" s="43"/>
      <c r="D55" s="43"/>
      <c r="E55" s="43"/>
      <c r="F55" s="43"/>
      <c r="G55" s="43"/>
      <c r="H55" s="43"/>
      <c r="I55" s="43"/>
      <c r="J55" s="43"/>
    </row>
    <row r="56" spans="2:10" ht="15.75">
      <c r="B56" s="283" t="s">
        <v>60</v>
      </c>
      <c r="C56" s="284">
        <v>0</v>
      </c>
      <c r="D56" s="285"/>
      <c r="E56" s="286"/>
      <c r="F56" s="286"/>
      <c r="G56" s="286"/>
      <c r="H56" s="286"/>
      <c r="I56" s="286"/>
      <c r="J56" s="267" t="s">
        <v>58</v>
      </c>
    </row>
    <row r="57" spans="2:10" ht="15.75">
      <c r="B57" s="287" t="s">
        <v>100</v>
      </c>
      <c r="C57" s="288">
        <v>1400</v>
      </c>
      <c r="D57" s="289"/>
      <c r="E57" s="290"/>
      <c r="F57" s="290"/>
      <c r="G57" s="290"/>
      <c r="H57" s="290"/>
      <c r="I57" s="290"/>
      <c r="J57" s="270" t="s">
        <v>58</v>
      </c>
    </row>
    <row r="58" spans="2:10" ht="15.75">
      <c r="B58" s="43"/>
      <c r="C58" s="43"/>
      <c r="D58" s="43"/>
      <c r="E58" s="43"/>
      <c r="F58" s="43"/>
      <c r="G58" s="43"/>
      <c r="H58" s="43"/>
      <c r="I58" s="43"/>
      <c r="J58" s="43"/>
    </row>
    <row r="59" spans="2:10" ht="15.75">
      <c r="B59" s="283" t="s">
        <v>62</v>
      </c>
      <c r="C59" s="286" t="s">
        <v>78</v>
      </c>
      <c r="D59" s="350">
        <v>0</v>
      </c>
      <c r="E59" s="286"/>
      <c r="F59" s="286"/>
      <c r="G59" s="286"/>
      <c r="H59" s="286"/>
      <c r="I59" s="286"/>
      <c r="J59" s="357" t="s">
        <v>419</v>
      </c>
    </row>
    <row r="60" spans="2:10" ht="15.75">
      <c r="B60" s="358"/>
      <c r="C60" s="281" t="s">
        <v>80</v>
      </c>
      <c r="D60" s="349">
        <v>0</v>
      </c>
      <c r="E60" s="281"/>
      <c r="F60" s="281"/>
      <c r="G60" s="281"/>
      <c r="H60" s="281"/>
      <c r="I60" s="281"/>
      <c r="J60" s="359" t="s">
        <v>419</v>
      </c>
    </row>
    <row r="61" spans="2:10" ht="15.75">
      <c r="B61" s="358"/>
      <c r="C61" s="281" t="s">
        <v>81</v>
      </c>
      <c r="D61" s="349">
        <v>0</v>
      </c>
      <c r="E61" s="281"/>
      <c r="F61" s="281"/>
      <c r="G61" s="281"/>
      <c r="H61" s="281"/>
      <c r="I61" s="281"/>
      <c r="J61" s="359" t="s">
        <v>419</v>
      </c>
    </row>
    <row r="62" spans="2:10" ht="15.75">
      <c r="B62" s="358"/>
      <c r="C62" s="281" t="s">
        <v>83</v>
      </c>
      <c r="D62" s="349">
        <v>0</v>
      </c>
      <c r="E62" s="281"/>
      <c r="F62" s="281"/>
      <c r="G62" s="281"/>
      <c r="H62" s="281"/>
      <c r="I62" s="281"/>
      <c r="J62" s="359" t="s">
        <v>419</v>
      </c>
    </row>
    <row r="63" spans="2:10" ht="15.75">
      <c r="B63" s="287"/>
      <c r="C63" s="290" t="s">
        <v>231</v>
      </c>
      <c r="D63" s="290">
        <f>SUM(D59:D62)</f>
        <v>0</v>
      </c>
      <c r="E63" s="290"/>
      <c r="F63" s="290"/>
      <c r="G63" s="290"/>
      <c r="H63" s="290"/>
      <c r="I63" s="290"/>
      <c r="J63" s="360" t="s">
        <v>419</v>
      </c>
    </row>
    <row r="64" spans="2:10" ht="15.75">
      <c r="B64" s="43"/>
      <c r="C64" s="43"/>
      <c r="D64" s="43"/>
      <c r="E64" s="43"/>
      <c r="F64" s="43"/>
      <c r="G64" s="43"/>
      <c r="H64" s="43"/>
      <c r="I64" s="43"/>
      <c r="J64" s="43"/>
    </row>
    <row r="65" spans="2:10" ht="15.75">
      <c r="B65" s="283" t="s">
        <v>101</v>
      </c>
      <c r="C65" s="286" t="s">
        <v>78</v>
      </c>
      <c r="D65" s="350">
        <v>0</v>
      </c>
      <c r="E65" s="286"/>
      <c r="F65" s="286"/>
      <c r="G65" s="286"/>
      <c r="H65" s="286"/>
      <c r="I65" s="286"/>
      <c r="J65" s="357" t="s">
        <v>419</v>
      </c>
    </row>
    <row r="66" spans="2:10" ht="15.75">
      <c r="B66" s="358"/>
      <c r="C66" s="281" t="s">
        <v>80</v>
      </c>
      <c r="D66" s="349">
        <v>0</v>
      </c>
      <c r="E66" s="281"/>
      <c r="F66" s="281"/>
      <c r="G66" s="281"/>
      <c r="H66" s="281"/>
      <c r="I66" s="281"/>
      <c r="J66" s="359" t="s">
        <v>419</v>
      </c>
    </row>
    <row r="67" spans="2:10" ht="15.75">
      <c r="B67" s="358"/>
      <c r="C67" s="281" t="s">
        <v>81</v>
      </c>
      <c r="D67" s="349">
        <v>0</v>
      </c>
      <c r="E67" s="281"/>
      <c r="F67" s="281"/>
      <c r="G67" s="281"/>
      <c r="H67" s="281"/>
      <c r="I67" s="281"/>
      <c r="J67" s="359" t="s">
        <v>419</v>
      </c>
    </row>
    <row r="68" spans="2:10" ht="15.75">
      <c r="B68" s="358"/>
      <c r="C68" s="281" t="s">
        <v>83</v>
      </c>
      <c r="D68" s="349">
        <v>0</v>
      </c>
      <c r="E68" s="281"/>
      <c r="F68" s="281"/>
      <c r="G68" s="281"/>
      <c r="H68" s="281"/>
      <c r="I68" s="281"/>
      <c r="J68" s="359" t="s">
        <v>419</v>
      </c>
    </row>
    <row r="69" spans="2:10" ht="15.75">
      <c r="B69" s="287"/>
      <c r="C69" s="290" t="s">
        <v>231</v>
      </c>
      <c r="D69" s="290">
        <f>SUM(D65:D68)</f>
        <v>0</v>
      </c>
      <c r="E69" s="290"/>
      <c r="F69" s="290"/>
      <c r="G69" s="290"/>
      <c r="H69" s="290"/>
      <c r="I69" s="290"/>
      <c r="J69" s="360" t="s">
        <v>419</v>
      </c>
    </row>
    <row r="70" spans="2:10" ht="15.75">
      <c r="B70" s="43"/>
      <c r="C70" s="43"/>
      <c r="D70" s="43"/>
      <c r="E70" s="43"/>
      <c r="F70" s="43"/>
      <c r="G70" s="43"/>
      <c r="H70" s="43"/>
      <c r="I70" s="43"/>
      <c r="J70" s="43"/>
    </row>
    <row r="71" spans="2:10" ht="15.75">
      <c r="B71" s="72" t="s">
        <v>63</v>
      </c>
      <c r="C71" s="70">
        <v>5000</v>
      </c>
      <c r="D71" s="55"/>
      <c r="E71" s="55"/>
      <c r="F71" s="55"/>
      <c r="G71" s="55"/>
      <c r="H71" s="55"/>
      <c r="I71" s="55"/>
      <c r="J71" s="27" t="s">
        <v>64</v>
      </c>
    </row>
    <row r="72" spans="2:10" ht="15.75">
      <c r="B72" s="73" t="s">
        <v>65</v>
      </c>
      <c r="C72" s="71">
        <v>43248</v>
      </c>
      <c r="D72" s="49"/>
      <c r="E72" s="49"/>
      <c r="F72" s="49"/>
      <c r="G72" s="49"/>
      <c r="H72" s="49"/>
      <c r="I72" s="49"/>
      <c r="J72" s="31" t="s">
        <v>66</v>
      </c>
    </row>
    <row r="73" spans="2:10" ht="15.75">
      <c r="B73" s="28" t="s">
        <v>68</v>
      </c>
      <c r="C73" s="68">
        <v>100</v>
      </c>
      <c r="D73" s="67"/>
      <c r="E73" s="67"/>
      <c r="F73" s="67"/>
      <c r="G73" s="67"/>
      <c r="H73" s="67"/>
      <c r="I73" s="67"/>
      <c r="J73" s="69" t="s">
        <v>58</v>
      </c>
    </row>
    <row r="74" spans="2:10" ht="15.75">
      <c r="B74" s="280"/>
      <c r="C74" s="280"/>
      <c r="D74" s="280"/>
      <c r="E74" s="280"/>
      <c r="F74" s="280"/>
      <c r="G74" s="280"/>
      <c r="H74" s="280"/>
      <c r="I74" s="280"/>
      <c r="J74" s="280"/>
    </row>
    <row r="75" spans="2:10" ht="15.75">
      <c r="B75" s="28" t="s">
        <v>71</v>
      </c>
      <c r="C75" s="68">
        <v>45.2</v>
      </c>
      <c r="D75" s="67"/>
      <c r="E75" s="67"/>
      <c r="F75" s="67"/>
      <c r="G75" s="67"/>
      <c r="H75" s="67"/>
      <c r="I75" s="67"/>
      <c r="J75" s="69" t="s">
        <v>72</v>
      </c>
    </row>
    <row r="76" spans="2:10" ht="15.75">
      <c r="B76" s="291"/>
      <c r="C76" s="282"/>
      <c r="D76" s="281"/>
      <c r="E76" s="281"/>
      <c r="F76" s="281"/>
      <c r="G76" s="281"/>
      <c r="H76" s="281"/>
      <c r="I76" s="281"/>
      <c r="J76" s="281"/>
    </row>
    <row r="77" spans="2:10" ht="15.75">
      <c r="B77" s="74" t="s">
        <v>412</v>
      </c>
      <c r="C77" s="43"/>
      <c r="D77" s="43"/>
      <c r="E77" s="43"/>
      <c r="F77" s="43"/>
      <c r="G77" s="43"/>
      <c r="H77" s="43"/>
      <c r="I77" s="43"/>
      <c r="J77" s="43"/>
    </row>
    <row r="78" spans="2:10" ht="15.75">
      <c r="B78" s="28" t="s">
        <v>73</v>
      </c>
      <c r="C78" s="75">
        <f>SUM(D78:I78)/1000</f>
        <v>13.575000000000001</v>
      </c>
      <c r="D78" s="67">
        <f aca="true" t="shared" si="6" ref="D78:I78">(D52*D54%)*D8</f>
        <v>225</v>
      </c>
      <c r="E78" s="67">
        <f t="shared" si="6"/>
        <v>9600.000000000002</v>
      </c>
      <c r="F78" s="67">
        <f t="shared" si="6"/>
        <v>1875</v>
      </c>
      <c r="G78" s="67">
        <f t="shared" si="6"/>
        <v>1875</v>
      </c>
      <c r="H78" s="67">
        <f t="shared" si="6"/>
        <v>0</v>
      </c>
      <c r="I78" s="67">
        <f t="shared" si="6"/>
        <v>0</v>
      </c>
      <c r="J78" s="76" t="s">
        <v>74</v>
      </c>
    </row>
    <row r="87" spans="6:7" ht="15.75">
      <c r="F87" s="77"/>
      <c r="G87" s="24"/>
    </row>
    <row r="88" spans="6:7" ht="15.75">
      <c r="F88" s="77"/>
      <c r="G88" s="24"/>
    </row>
    <row r="91" spans="3:8" ht="15.75">
      <c r="C91" s="78"/>
      <c r="D91" s="79"/>
      <c r="E91" s="78"/>
      <c r="F91" s="78"/>
      <c r="G91" s="78"/>
      <c r="H91" s="80"/>
    </row>
    <row r="92" spans="3:8" ht="15.75">
      <c r="C92" s="78"/>
      <c r="D92" s="79"/>
      <c r="E92" s="78"/>
      <c r="F92" s="81"/>
      <c r="G92" s="81"/>
      <c r="H92" s="65"/>
    </row>
    <row r="93" spans="3:8" ht="15.75">
      <c r="C93" s="78"/>
      <c r="D93" s="79"/>
      <c r="E93" s="81"/>
      <c r="F93" s="81"/>
      <c r="G93" s="81"/>
      <c r="H93" s="65"/>
    </row>
    <row r="94" spans="3:8" ht="15.75">
      <c r="C94" s="78"/>
      <c r="D94" s="79"/>
      <c r="E94" s="81"/>
      <c r="F94" s="81"/>
      <c r="G94" s="81"/>
      <c r="H94" s="65"/>
    </row>
  </sheetData>
  <sheetProtection sheet="1"/>
  <mergeCells count="1">
    <mergeCell ref="I1:J1"/>
  </mergeCells>
  <printOptions/>
  <pageMargins left="0.7480314960629921" right="0.7480314960629921" top="0.984251968503937" bottom="0.984251968503937" header="0.511811023622047" footer="0.511811023622047"/>
  <pageSetup fitToHeight="0" fitToWidth="0" horizontalDpi="600" verticalDpi="600" orientation="landscape" paperSize="9" scale="94" r:id="rId4"/>
  <drawing r:id="rId3"/>
  <legacyDrawing r:id="rId2"/>
</worksheet>
</file>

<file path=xl/worksheets/sheet4.xml><?xml version="1.0" encoding="utf-8"?>
<worksheet xmlns="http://schemas.openxmlformats.org/spreadsheetml/2006/main" xmlns:r="http://schemas.openxmlformats.org/officeDocument/2006/relationships">
  <dimension ref="B1:Z92"/>
  <sheetViews>
    <sheetView showGridLines="0" zoomScale="80" zoomScaleNormal="80" zoomScalePageLayoutView="0" workbookViewId="0" topLeftCell="A1">
      <selection activeCell="A1" sqref="A1"/>
    </sheetView>
  </sheetViews>
  <sheetFormatPr defaultColWidth="8.8515625" defaultRowHeight="12.75"/>
  <cols>
    <col min="1" max="1" width="3.140625" style="78" customWidth="1"/>
    <col min="2" max="2" width="39.7109375" style="78" customWidth="1"/>
    <col min="3" max="3" width="13.140625" style="78" customWidth="1"/>
    <col min="4" max="4" width="12.28125" style="78" bestFit="1" customWidth="1"/>
    <col min="5" max="5" width="12.00390625" style="78" bestFit="1" customWidth="1"/>
    <col min="6" max="6" width="17.140625" style="78" customWidth="1"/>
    <col min="7" max="7" width="13.8515625" style="78" customWidth="1"/>
    <col min="8" max="8" width="12.28125" style="78" customWidth="1"/>
    <col min="9" max="9" width="20.00390625" style="78" customWidth="1"/>
    <col min="10" max="10" width="8.8515625" style="83" customWidth="1"/>
    <col min="11" max="11" width="18.421875" style="78" customWidth="1"/>
    <col min="12" max="12" width="37.28125" style="78" customWidth="1"/>
    <col min="13" max="13" width="10.28125" style="78" customWidth="1"/>
    <col min="14" max="14" width="11.00390625" style="78" customWidth="1"/>
    <col min="15" max="15" width="10.7109375" style="78" customWidth="1"/>
    <col min="16" max="16" width="17.00390625" style="78" customWidth="1"/>
    <col min="17" max="17" width="14.28125" style="78" customWidth="1"/>
    <col min="18" max="18" width="11.7109375" style="78" customWidth="1"/>
    <col min="19" max="19" width="19.57421875" style="78" customWidth="1"/>
    <col min="20" max="20" width="17.00390625" style="78" customWidth="1"/>
    <col min="21" max="21" width="19.421875" style="84" customWidth="1"/>
    <col min="22" max="22" width="8.8515625" style="78" customWidth="1"/>
    <col min="23" max="16384" width="8.8515625" style="78" customWidth="1"/>
  </cols>
  <sheetData>
    <row r="1" ht="24.75" customHeight="1">
      <c r="B1" s="82" t="s">
        <v>103</v>
      </c>
    </row>
    <row r="2" ht="15" customHeight="1">
      <c r="B2" s="82"/>
    </row>
    <row r="3" spans="2:21" ht="15.75">
      <c r="B3" s="85" t="s">
        <v>104</v>
      </c>
      <c r="C3" s="85" t="s">
        <v>105</v>
      </c>
      <c r="D3" s="85" t="str">
        <f>'Data input'!D3</f>
        <v>Rams</v>
      </c>
      <c r="E3" s="85" t="str">
        <f>'Data input'!E3</f>
        <v>Wethers</v>
      </c>
      <c r="F3" s="85" t="str">
        <f>'Data input'!F3</f>
        <v>Maiden breeding ewes</v>
      </c>
      <c r="G3" s="85" t="str">
        <f>'Data input'!G3</f>
        <v>Breeding ewes</v>
      </c>
      <c r="H3" s="85" t="str">
        <f>'Data input'!H3</f>
        <v>Other ewes</v>
      </c>
      <c r="I3" s="85" t="str">
        <f>'Data input'!I3</f>
        <v>Lambs and hoggets</v>
      </c>
      <c r="J3" s="85" t="str">
        <f>'Data input'!J3</f>
        <v>Units</v>
      </c>
      <c r="L3" s="85" t="s">
        <v>106</v>
      </c>
      <c r="M3" s="85" t="s">
        <v>105</v>
      </c>
      <c r="N3" s="85" t="str">
        <f>'Data input'!D3</f>
        <v>Rams</v>
      </c>
      <c r="O3" s="85" t="str">
        <f>'Data input'!E3</f>
        <v>Wethers</v>
      </c>
      <c r="P3" s="85" t="str">
        <f>'Data input'!F3</f>
        <v>Maiden breeding ewes</v>
      </c>
      <c r="Q3" s="85" t="str">
        <f>'Data input'!G3</f>
        <v>Breeding ewes</v>
      </c>
      <c r="R3" s="85" t="str">
        <f>'Data input'!H3</f>
        <v>Other ewes</v>
      </c>
      <c r="S3" s="85" t="str">
        <f>'Data input'!I3</f>
        <v>Lambs and hoggets</v>
      </c>
      <c r="T3" s="85" t="str">
        <f>'Data input'!J3</f>
        <v>Units</v>
      </c>
      <c r="U3" s="86" t="s">
        <v>418</v>
      </c>
    </row>
    <row r="4" spans="2:21" ht="15.75">
      <c r="B4" s="87"/>
      <c r="C4" s="87"/>
      <c r="D4" s="87"/>
      <c r="E4" s="87"/>
      <c r="F4" s="87"/>
      <c r="G4" s="87"/>
      <c r="H4" s="87"/>
      <c r="I4" s="87"/>
      <c r="J4" s="88"/>
      <c r="L4" s="87"/>
      <c r="M4" s="87"/>
      <c r="N4" s="87"/>
      <c r="O4" s="87"/>
      <c r="P4" s="87"/>
      <c r="Q4" s="87"/>
      <c r="R4" s="87"/>
      <c r="S4" s="87"/>
      <c r="T4" s="87"/>
      <c r="U4" s="89"/>
    </row>
    <row r="5" spans="2:21" ht="31.5">
      <c r="B5" s="90" t="s">
        <v>107</v>
      </c>
      <c r="C5" s="91" t="s">
        <v>78</v>
      </c>
      <c r="D5" s="91">
        <f>'Data input'!D10</f>
        <v>70</v>
      </c>
      <c r="E5" s="91">
        <f>'Data input'!E10</f>
        <v>60</v>
      </c>
      <c r="F5" s="91">
        <f>'Data input'!F10</f>
        <v>45</v>
      </c>
      <c r="G5" s="91">
        <f>'Data input'!G10</f>
        <v>50</v>
      </c>
      <c r="H5" s="91">
        <f>'Data input'!H10</f>
        <v>50</v>
      </c>
      <c r="I5" s="91">
        <f>'Data input'!I10</f>
        <v>20</v>
      </c>
      <c r="J5" s="92" t="str">
        <f>'Data input'!J10</f>
        <v>kg/head</v>
      </c>
      <c r="L5" s="90" t="s">
        <v>108</v>
      </c>
      <c r="M5" s="87"/>
      <c r="N5" s="90" t="s">
        <v>109</v>
      </c>
      <c r="O5" s="87"/>
      <c r="P5" s="87"/>
      <c r="Q5" s="87"/>
      <c r="R5" s="87"/>
      <c r="S5" s="87"/>
      <c r="T5" s="87"/>
      <c r="U5" s="89" t="s">
        <v>110</v>
      </c>
    </row>
    <row r="6" spans="2:21" ht="31.5">
      <c r="B6" s="87"/>
      <c r="C6" s="91" t="s">
        <v>80</v>
      </c>
      <c r="D6" s="91">
        <f>'Data input'!D11</f>
        <v>65</v>
      </c>
      <c r="E6" s="91">
        <f>'Data input'!E11</f>
        <v>55</v>
      </c>
      <c r="F6" s="91">
        <f>'Data input'!F11</f>
        <v>45</v>
      </c>
      <c r="G6" s="91">
        <f>'Data input'!G11</f>
        <v>50</v>
      </c>
      <c r="H6" s="91">
        <f>'Data input'!H11</f>
        <v>50</v>
      </c>
      <c r="I6" s="91">
        <f>'Data input'!I11</f>
        <v>25</v>
      </c>
      <c r="J6" s="92" t="str">
        <f>'Data input'!J11</f>
        <v>kg/head</v>
      </c>
      <c r="L6" s="87"/>
      <c r="M6" s="87"/>
      <c r="N6" s="87" t="s">
        <v>111</v>
      </c>
      <c r="O6" s="87"/>
      <c r="P6" s="87"/>
      <c r="Q6" s="87"/>
      <c r="R6" s="87"/>
      <c r="S6" s="87"/>
      <c r="T6" s="87"/>
      <c r="U6" s="89"/>
    </row>
    <row r="7" spans="2:21" ht="31.5">
      <c r="B7" s="87"/>
      <c r="C7" s="91" t="s">
        <v>81</v>
      </c>
      <c r="D7" s="91">
        <f>'Data input'!D12</f>
        <v>65</v>
      </c>
      <c r="E7" s="91">
        <f>'Data input'!E12</f>
        <v>52</v>
      </c>
      <c r="F7" s="91">
        <f>'Data input'!F12</f>
        <v>43</v>
      </c>
      <c r="G7" s="91">
        <f>'Data input'!G12</f>
        <v>48</v>
      </c>
      <c r="H7" s="91">
        <f>'Data input'!H12</f>
        <v>50</v>
      </c>
      <c r="I7" s="91">
        <f>'Data input'!I12</f>
        <v>30</v>
      </c>
      <c r="J7" s="92" t="str">
        <f>'Data input'!J12</f>
        <v>kg/head</v>
      </c>
      <c r="L7" s="87"/>
      <c r="M7" s="91" t="s">
        <v>78</v>
      </c>
      <c r="N7" s="93">
        <f aca="true" t="shared" si="0" ref="N7:S10">(((104.7*D15)+(0.307*D5)-15)*D5^0.75)/1000</f>
        <v>1.5635664662315345</v>
      </c>
      <c r="O7" s="93">
        <f t="shared" si="0"/>
        <v>1.3266722980183725</v>
      </c>
      <c r="P7" s="93">
        <f t="shared" si="0"/>
        <v>0.9891925879265512</v>
      </c>
      <c r="Q7" s="93">
        <f t="shared" si="0"/>
        <v>1.0993929471578776</v>
      </c>
      <c r="R7" s="93">
        <f t="shared" si="0"/>
        <v>1.0993929471578776</v>
      </c>
      <c r="S7" s="93">
        <f t="shared" si="0"/>
        <v>0.4658625754563917</v>
      </c>
      <c r="T7" s="87" t="s">
        <v>112</v>
      </c>
      <c r="U7" s="89"/>
    </row>
    <row r="8" spans="2:21" ht="31.5">
      <c r="B8" s="87"/>
      <c r="C8" s="91" t="s">
        <v>83</v>
      </c>
      <c r="D8" s="91">
        <f>'Data input'!D13</f>
        <v>65</v>
      </c>
      <c r="E8" s="91">
        <f>'Data input'!E13</f>
        <v>50</v>
      </c>
      <c r="F8" s="91">
        <f>'Data input'!F13</f>
        <v>43</v>
      </c>
      <c r="G8" s="91">
        <f>'Data input'!G13</f>
        <v>48</v>
      </c>
      <c r="H8" s="91">
        <f>'Data input'!H13</f>
        <v>50</v>
      </c>
      <c r="I8" s="91">
        <f>'Data input'!I13</f>
        <v>40</v>
      </c>
      <c r="J8" s="92" t="str">
        <f>'Data input'!J13</f>
        <v>kg/head</v>
      </c>
      <c r="L8" s="87"/>
      <c r="M8" s="91" t="s">
        <v>80</v>
      </c>
      <c r="N8" s="93">
        <f t="shared" si="0"/>
        <v>1.1580752413958721</v>
      </c>
      <c r="O8" s="93">
        <f t="shared" si="0"/>
        <v>0.9596982312536152</v>
      </c>
      <c r="P8" s="93">
        <f t="shared" si="0"/>
        <v>0.7722651660948704</v>
      </c>
      <c r="Q8" s="93">
        <f t="shared" si="0"/>
        <v>0.8646283676396136</v>
      </c>
      <c r="R8" s="93">
        <f t="shared" si="0"/>
        <v>0.8646283676396136</v>
      </c>
      <c r="S8" s="93">
        <f t="shared" si="0"/>
        <v>0.4748326127308442</v>
      </c>
      <c r="T8" s="87" t="s">
        <v>112</v>
      </c>
      <c r="U8" s="89"/>
    </row>
    <row r="9" spans="2:21" ht="15.75">
      <c r="B9" s="87"/>
      <c r="C9" s="91"/>
      <c r="D9" s="91"/>
      <c r="E9" s="91"/>
      <c r="F9" s="91"/>
      <c r="G9" s="94"/>
      <c r="H9" s="91"/>
      <c r="I9" s="91"/>
      <c r="J9" s="88"/>
      <c r="L9" s="87"/>
      <c r="M9" s="91" t="s">
        <v>81</v>
      </c>
      <c r="N9" s="93">
        <f t="shared" si="0"/>
        <v>1.3486207988995054</v>
      </c>
      <c r="O9" s="93">
        <f t="shared" si="0"/>
        <v>1.0635112555960096</v>
      </c>
      <c r="P9" s="93">
        <f t="shared" si="0"/>
        <v>0.8758373849677307</v>
      </c>
      <c r="Q9" s="93">
        <f t="shared" si="0"/>
        <v>0.9791512235007697</v>
      </c>
      <c r="R9" s="93">
        <f t="shared" si="0"/>
        <v>1.0211380873184563</v>
      </c>
      <c r="S9" s="93">
        <f t="shared" si="0"/>
        <v>0.5640870434492498</v>
      </c>
      <c r="T9" s="87" t="s">
        <v>112</v>
      </c>
      <c r="U9" s="89"/>
    </row>
    <row r="10" spans="2:21" ht="15.75">
      <c r="B10" s="90" t="s">
        <v>95</v>
      </c>
      <c r="C10" s="91" t="s">
        <v>78</v>
      </c>
      <c r="D10" s="91">
        <f>'Data input'!D46</f>
        <v>70</v>
      </c>
      <c r="E10" s="91">
        <f>'Data input'!E46</f>
        <v>70</v>
      </c>
      <c r="F10" s="91">
        <f>'Data input'!F46</f>
        <v>70</v>
      </c>
      <c r="G10" s="91">
        <f>'Data input'!G46</f>
        <v>70</v>
      </c>
      <c r="H10" s="91">
        <f>'Data input'!H46</f>
        <v>70</v>
      </c>
      <c r="I10" s="91">
        <f>'Data input'!I46</f>
        <v>70</v>
      </c>
      <c r="J10" s="92" t="str">
        <f>'Data input'!J46</f>
        <v>%</v>
      </c>
      <c r="L10" s="87"/>
      <c r="M10" s="91" t="s">
        <v>83</v>
      </c>
      <c r="N10" s="93">
        <f t="shared" si="0"/>
        <v>1.253348020147689</v>
      </c>
      <c r="O10" s="93">
        <f t="shared" si="0"/>
        <v>0.9428832274790347</v>
      </c>
      <c r="P10" s="93">
        <f t="shared" si="0"/>
        <v>0.8059521939837849</v>
      </c>
      <c r="Q10" s="93">
        <f t="shared" si="0"/>
        <v>0.903255947842283</v>
      </c>
      <c r="R10" s="93">
        <f t="shared" si="0"/>
        <v>0.9428832274790347</v>
      </c>
      <c r="S10" s="93">
        <f t="shared" si="0"/>
        <v>0.7487524808668424</v>
      </c>
      <c r="T10" s="87" t="s">
        <v>112</v>
      </c>
      <c r="U10" s="89"/>
    </row>
    <row r="11" spans="2:21" ht="15.75">
      <c r="B11" s="87"/>
      <c r="C11" s="91" t="s">
        <v>80</v>
      </c>
      <c r="D11" s="91">
        <f>'Data input'!D47</f>
        <v>55</v>
      </c>
      <c r="E11" s="91">
        <f>'Data input'!E47</f>
        <v>55</v>
      </c>
      <c r="F11" s="91">
        <f>'Data input'!F47</f>
        <v>55</v>
      </c>
      <c r="G11" s="91">
        <f>'Data input'!G47</f>
        <v>55</v>
      </c>
      <c r="H11" s="91">
        <f>'Data input'!H47</f>
        <v>55</v>
      </c>
      <c r="I11" s="91">
        <f>'Data input'!I47</f>
        <v>60</v>
      </c>
      <c r="J11" s="92" t="str">
        <f>'Data input'!J47</f>
        <v>%</v>
      </c>
      <c r="L11" s="87"/>
      <c r="M11" s="87"/>
      <c r="N11" s="87"/>
      <c r="O11" s="87"/>
      <c r="P11" s="87"/>
      <c r="Q11" s="87"/>
      <c r="R11" s="87"/>
      <c r="S11" s="87"/>
      <c r="T11" s="87"/>
      <c r="U11" s="89"/>
    </row>
    <row r="12" spans="2:21" ht="15.75">
      <c r="B12" s="87"/>
      <c r="C12" s="91" t="s">
        <v>81</v>
      </c>
      <c r="D12" s="91">
        <f>'Data input'!D48</f>
        <v>65</v>
      </c>
      <c r="E12" s="91">
        <f>'Data input'!E48</f>
        <v>65</v>
      </c>
      <c r="F12" s="91">
        <f>'Data input'!F48</f>
        <v>65</v>
      </c>
      <c r="G12" s="91">
        <f>'Data input'!G48</f>
        <v>65</v>
      </c>
      <c r="H12" s="91">
        <f>'Data input'!H48</f>
        <v>65</v>
      </c>
      <c r="I12" s="91">
        <f>'Data input'!I48</f>
        <v>60</v>
      </c>
      <c r="J12" s="92" t="str">
        <f>'Data input'!J48</f>
        <v>%</v>
      </c>
      <c r="L12" s="90" t="s">
        <v>113</v>
      </c>
      <c r="M12" s="87"/>
      <c r="N12" s="90" t="s">
        <v>114</v>
      </c>
      <c r="O12" s="87"/>
      <c r="P12" s="87"/>
      <c r="Q12" s="87"/>
      <c r="R12" s="87"/>
      <c r="S12" s="87"/>
      <c r="T12" s="87"/>
      <c r="U12" s="89" t="s">
        <v>115</v>
      </c>
    </row>
    <row r="13" spans="2:21" ht="15.75">
      <c r="B13" s="87"/>
      <c r="C13" s="91" t="s">
        <v>83</v>
      </c>
      <c r="D13" s="91">
        <f>'Data input'!D49</f>
        <v>60</v>
      </c>
      <c r="E13" s="91">
        <f>'Data input'!E49</f>
        <v>60</v>
      </c>
      <c r="F13" s="91">
        <f>'Data input'!F49</f>
        <v>60</v>
      </c>
      <c r="G13" s="91">
        <f>'Data input'!G49</f>
        <v>60</v>
      </c>
      <c r="H13" s="91">
        <f>'Data input'!H49</f>
        <v>60</v>
      </c>
      <c r="I13" s="91">
        <f>'Data input'!I49</f>
        <v>60</v>
      </c>
      <c r="J13" s="92" t="str">
        <f>'Data input'!J49</f>
        <v>%</v>
      </c>
      <c r="L13" s="87"/>
      <c r="M13" s="87"/>
      <c r="N13" s="87" t="s">
        <v>116</v>
      </c>
      <c r="O13" s="87"/>
      <c r="P13" s="87"/>
      <c r="Q13" s="87"/>
      <c r="R13" s="87"/>
      <c r="S13" s="87"/>
      <c r="T13" s="87"/>
      <c r="U13" s="89"/>
    </row>
    <row r="14" spans="2:21" ht="15.75">
      <c r="B14" s="87"/>
      <c r="C14" s="91"/>
      <c r="D14" s="91"/>
      <c r="E14" s="91"/>
      <c r="F14" s="91"/>
      <c r="G14" s="91"/>
      <c r="H14" s="91"/>
      <c r="I14" s="91"/>
      <c r="J14" s="88"/>
      <c r="L14" s="87"/>
      <c r="M14" s="91" t="s">
        <v>78</v>
      </c>
      <c r="N14" s="95">
        <f aca="true" t="shared" si="1" ref="N14:S17">1-EXP(-2*(D20^2))</f>
        <v>0.9999999987245923</v>
      </c>
      <c r="O14" s="95">
        <f t="shared" si="1"/>
        <v>0.9999999987245923</v>
      </c>
      <c r="P14" s="95">
        <f t="shared" si="1"/>
        <v>0.9999999987245923</v>
      </c>
      <c r="Q14" s="95">
        <f t="shared" si="1"/>
        <v>0.9999999987245923</v>
      </c>
      <c r="R14" s="95">
        <f t="shared" si="1"/>
        <v>0.9999999987245923</v>
      </c>
      <c r="S14" s="95">
        <f t="shared" si="1"/>
        <v>0.9999999987245923</v>
      </c>
      <c r="T14" s="87"/>
      <c r="U14" s="89"/>
    </row>
    <row r="15" spans="2:21" ht="15.75">
      <c r="B15" s="90" t="s">
        <v>117</v>
      </c>
      <c r="C15" s="91" t="str">
        <f>C10</f>
        <v>Spring</v>
      </c>
      <c r="D15" s="96">
        <f aca="true" t="shared" si="2" ref="D15:I18">(0.00795*D10)-0.0014</f>
        <v>0.5551</v>
      </c>
      <c r="E15" s="96">
        <f t="shared" si="2"/>
        <v>0.5551</v>
      </c>
      <c r="F15" s="96">
        <f t="shared" si="2"/>
        <v>0.5551</v>
      </c>
      <c r="G15" s="96">
        <f t="shared" si="2"/>
        <v>0.5551</v>
      </c>
      <c r="H15" s="96">
        <f t="shared" si="2"/>
        <v>0.5551</v>
      </c>
      <c r="I15" s="96">
        <f t="shared" si="2"/>
        <v>0.5551</v>
      </c>
      <c r="J15" s="88"/>
      <c r="L15" s="87"/>
      <c r="M15" s="91" t="s">
        <v>80</v>
      </c>
      <c r="N15" s="95">
        <f t="shared" si="1"/>
        <v>0.9996645373720975</v>
      </c>
      <c r="O15" s="95">
        <f t="shared" si="1"/>
        <v>0.9999999847700203</v>
      </c>
      <c r="P15" s="95">
        <f t="shared" si="1"/>
        <v>0.9996645373720975</v>
      </c>
      <c r="Q15" s="95">
        <f t="shared" si="1"/>
        <v>0.9996645373720975</v>
      </c>
      <c r="R15" s="95">
        <f t="shared" si="1"/>
        <v>0.9996645373720975</v>
      </c>
      <c r="S15" s="95">
        <f t="shared" si="1"/>
        <v>0.9996645373720975</v>
      </c>
      <c r="T15" s="87"/>
      <c r="U15" s="89"/>
    </row>
    <row r="16" spans="2:21" ht="15.75">
      <c r="B16" s="87"/>
      <c r="C16" s="91" t="str">
        <f>C11</f>
        <v>Summer</v>
      </c>
      <c r="D16" s="96">
        <f t="shared" si="2"/>
        <v>0.43585</v>
      </c>
      <c r="E16" s="96">
        <f t="shared" si="2"/>
        <v>0.43585</v>
      </c>
      <c r="F16" s="96">
        <f t="shared" si="2"/>
        <v>0.43585</v>
      </c>
      <c r="G16" s="96">
        <f t="shared" si="2"/>
        <v>0.43585</v>
      </c>
      <c r="H16" s="96">
        <f t="shared" si="2"/>
        <v>0.43585</v>
      </c>
      <c r="I16" s="96">
        <f t="shared" si="2"/>
        <v>0.4756</v>
      </c>
      <c r="J16" s="88"/>
      <c r="L16" s="87"/>
      <c r="M16" s="91" t="s">
        <v>81</v>
      </c>
      <c r="N16" s="95">
        <f t="shared" si="1"/>
        <v>0.9888910034617577</v>
      </c>
      <c r="O16" s="95">
        <f t="shared" si="1"/>
        <v>0.9984661893206755</v>
      </c>
      <c r="P16" s="95">
        <f t="shared" si="1"/>
        <v>0.9888910034617577</v>
      </c>
      <c r="Q16" s="95">
        <f t="shared" si="1"/>
        <v>0.9996645373720975</v>
      </c>
      <c r="R16" s="95">
        <f t="shared" si="1"/>
        <v>0.8646647167633873</v>
      </c>
      <c r="S16" s="95">
        <f t="shared" si="1"/>
        <v>0.9984661893206755</v>
      </c>
      <c r="T16" s="87"/>
      <c r="U16" s="89"/>
    </row>
    <row r="17" spans="2:21" ht="15.75">
      <c r="B17" s="87"/>
      <c r="C17" s="91" t="str">
        <f>C12</f>
        <v>Autumn</v>
      </c>
      <c r="D17" s="96">
        <f t="shared" si="2"/>
        <v>0.5153500000000001</v>
      </c>
      <c r="E17" s="96">
        <f t="shared" si="2"/>
        <v>0.5153500000000001</v>
      </c>
      <c r="F17" s="96">
        <f t="shared" si="2"/>
        <v>0.5153500000000001</v>
      </c>
      <c r="G17" s="96">
        <f t="shared" si="2"/>
        <v>0.5153500000000001</v>
      </c>
      <c r="H17" s="96">
        <f t="shared" si="2"/>
        <v>0.5153500000000001</v>
      </c>
      <c r="I17" s="96">
        <f t="shared" si="2"/>
        <v>0.4756</v>
      </c>
      <c r="J17" s="88"/>
      <c r="L17" s="87"/>
      <c r="M17" s="91" t="s">
        <v>83</v>
      </c>
      <c r="N17" s="95">
        <f t="shared" si="1"/>
        <v>0.8646647167633873</v>
      </c>
      <c r="O17" s="95">
        <f t="shared" si="1"/>
        <v>0.8646647167633873</v>
      </c>
      <c r="P17" s="95">
        <f t="shared" si="1"/>
        <v>0.8646647167633873</v>
      </c>
      <c r="Q17" s="95">
        <f t="shared" si="1"/>
        <v>0.9888910034617577</v>
      </c>
      <c r="R17" s="95">
        <f t="shared" si="1"/>
        <v>0.8646647167633873</v>
      </c>
      <c r="S17" s="95">
        <f t="shared" si="1"/>
        <v>0.8646647167633873</v>
      </c>
      <c r="T17" s="87"/>
      <c r="U17" s="89"/>
    </row>
    <row r="18" spans="2:21" ht="15.75">
      <c r="B18" s="87"/>
      <c r="C18" s="91" t="str">
        <f>C13</f>
        <v>Winter</v>
      </c>
      <c r="D18" s="96">
        <f t="shared" si="2"/>
        <v>0.4756</v>
      </c>
      <c r="E18" s="96">
        <f t="shared" si="2"/>
        <v>0.4756</v>
      </c>
      <c r="F18" s="96">
        <f t="shared" si="2"/>
        <v>0.4756</v>
      </c>
      <c r="G18" s="96">
        <f t="shared" si="2"/>
        <v>0.4756</v>
      </c>
      <c r="H18" s="96">
        <f t="shared" si="2"/>
        <v>0.4756</v>
      </c>
      <c r="I18" s="96">
        <f t="shared" si="2"/>
        <v>0.4756</v>
      </c>
      <c r="J18" s="88"/>
      <c r="L18" s="87"/>
      <c r="M18" s="87"/>
      <c r="N18" s="87"/>
      <c r="O18" s="87"/>
      <c r="P18" s="87"/>
      <c r="Q18" s="87"/>
      <c r="R18" s="87"/>
      <c r="S18" s="87"/>
      <c r="T18" s="87"/>
      <c r="U18" s="89"/>
    </row>
    <row r="19" spans="2:21" ht="15.75">
      <c r="B19" s="87"/>
      <c r="C19" s="91"/>
      <c r="D19" s="91"/>
      <c r="E19" s="91"/>
      <c r="F19" s="91"/>
      <c r="G19" s="91"/>
      <c r="H19" s="91"/>
      <c r="I19" s="91"/>
      <c r="J19" s="88"/>
      <c r="L19" s="90" t="s">
        <v>118</v>
      </c>
      <c r="M19" s="87"/>
      <c r="N19" s="90" t="s">
        <v>119</v>
      </c>
      <c r="O19" s="87"/>
      <c r="P19" s="87"/>
      <c r="Q19" s="87"/>
      <c r="R19" s="87"/>
      <c r="S19" s="87"/>
      <c r="T19" s="87"/>
      <c r="U19" s="89" t="s">
        <v>120</v>
      </c>
    </row>
    <row r="20" spans="2:21" ht="15.75">
      <c r="B20" s="90" t="s">
        <v>121</v>
      </c>
      <c r="C20" s="91" t="str">
        <f>C15</f>
        <v>Spring</v>
      </c>
      <c r="D20" s="91">
        <f>'Data input'!D22</f>
        <v>3.2</v>
      </c>
      <c r="E20" s="91">
        <f>'Data input'!E22</f>
        <v>3.2</v>
      </c>
      <c r="F20" s="91">
        <f>'Data input'!F22</f>
        <v>3.2</v>
      </c>
      <c r="G20" s="91">
        <f>'Data input'!G22</f>
        <v>3.2</v>
      </c>
      <c r="H20" s="91">
        <f>'Data input'!H22</f>
        <v>3.2</v>
      </c>
      <c r="I20" s="91">
        <f>'Data input'!I22</f>
        <v>3.2</v>
      </c>
      <c r="J20" s="92" t="str">
        <f>'Data input'!J22</f>
        <v>t/ha</v>
      </c>
      <c r="L20" s="87"/>
      <c r="M20" s="87"/>
      <c r="N20" s="87" t="s">
        <v>122</v>
      </c>
      <c r="O20" s="87"/>
      <c r="P20" s="87"/>
      <c r="Q20" s="87"/>
      <c r="R20" s="87"/>
      <c r="S20" s="87"/>
      <c r="T20" s="87"/>
      <c r="U20" s="89"/>
    </row>
    <row r="21" spans="2:21" ht="15.75">
      <c r="B21" s="87"/>
      <c r="C21" s="91" t="str">
        <f>C16</f>
        <v>Summer</v>
      </c>
      <c r="D21" s="91">
        <f>'Data input'!D23</f>
        <v>2</v>
      </c>
      <c r="E21" s="91">
        <f>'Data input'!E23</f>
        <v>3</v>
      </c>
      <c r="F21" s="91">
        <f>'Data input'!F23</f>
        <v>2</v>
      </c>
      <c r="G21" s="91">
        <f>'Data input'!G23</f>
        <v>2</v>
      </c>
      <c r="H21" s="91">
        <f>'Data input'!H23</f>
        <v>2</v>
      </c>
      <c r="I21" s="91">
        <f>'Data input'!I23</f>
        <v>2</v>
      </c>
      <c r="J21" s="92" t="str">
        <f>'Data input'!J23</f>
        <v>t/ha</v>
      </c>
      <c r="L21" s="87"/>
      <c r="M21" s="91" t="s">
        <v>78</v>
      </c>
      <c r="N21" s="93">
        <f aca="true" t="shared" si="3" ref="N21:P24">N7*N14</f>
        <v>1.56356646423735</v>
      </c>
      <c r="O21" s="93">
        <f t="shared" si="3"/>
        <v>1.3266722963263244</v>
      </c>
      <c r="P21" s="93">
        <f t="shared" si="3"/>
        <v>0.9891925866649274</v>
      </c>
      <c r="Q21" s="93">
        <f>Q7*Q14*Q29</f>
        <v>1.2972836759917303</v>
      </c>
      <c r="R21" s="93">
        <f aca="true" t="shared" si="4" ref="R21:S24">R7*R14</f>
        <v>1.0993929457557035</v>
      </c>
      <c r="S21" s="93">
        <f t="shared" si="4"/>
        <v>0.465862574862227</v>
      </c>
      <c r="T21" s="87"/>
      <c r="U21" s="89"/>
    </row>
    <row r="22" spans="2:21" ht="15.75">
      <c r="B22" s="87"/>
      <c r="C22" s="91" t="str">
        <f>C17</f>
        <v>Autumn</v>
      </c>
      <c r="D22" s="91">
        <f>'Data input'!D24</f>
        <v>1.5</v>
      </c>
      <c r="E22" s="91">
        <f>'Data input'!E24</f>
        <v>1.8</v>
      </c>
      <c r="F22" s="91">
        <f>'Data input'!F24</f>
        <v>1.5</v>
      </c>
      <c r="G22" s="91">
        <f>'Data input'!G24</f>
        <v>2</v>
      </c>
      <c r="H22" s="91">
        <f>'Data input'!H24</f>
        <v>1</v>
      </c>
      <c r="I22" s="91">
        <f>'Data input'!I24</f>
        <v>1.8</v>
      </c>
      <c r="J22" s="92" t="str">
        <f>'Data input'!J24</f>
        <v>t/ha</v>
      </c>
      <c r="L22" s="87"/>
      <c r="M22" s="91" t="s">
        <v>80</v>
      </c>
      <c r="N22" s="93">
        <f t="shared" si="3"/>
        <v>1.1576867504320847</v>
      </c>
      <c r="O22" s="93">
        <f t="shared" si="3"/>
        <v>0.9596982166374306</v>
      </c>
      <c r="P22" s="93">
        <f t="shared" si="3"/>
        <v>0.7720060999928147</v>
      </c>
      <c r="Q22" s="93">
        <f>Q8*Q15*Q30</f>
        <v>0.8643383171352461</v>
      </c>
      <c r="R22" s="93">
        <f t="shared" si="4"/>
        <v>0.8643383171352461</v>
      </c>
      <c r="S22" s="93">
        <f t="shared" si="4"/>
        <v>0.4746733241347637</v>
      </c>
      <c r="T22" s="87"/>
      <c r="U22" s="89"/>
    </row>
    <row r="23" spans="2:21" ht="15.75">
      <c r="B23" s="87"/>
      <c r="C23" s="91" t="str">
        <f>C18</f>
        <v>Winter</v>
      </c>
      <c r="D23" s="91">
        <f>'Data input'!D25</f>
        <v>1</v>
      </c>
      <c r="E23" s="91">
        <f>'Data input'!E25</f>
        <v>1</v>
      </c>
      <c r="F23" s="91">
        <f>'Data input'!F25</f>
        <v>1</v>
      </c>
      <c r="G23" s="91">
        <f>'Data input'!G25</f>
        <v>1.5</v>
      </c>
      <c r="H23" s="91">
        <f>'Data input'!H25</f>
        <v>1</v>
      </c>
      <c r="I23" s="91">
        <f>'Data input'!I25</f>
        <v>1</v>
      </c>
      <c r="J23" s="92" t="str">
        <f>'Data input'!J25</f>
        <v>t/ha</v>
      </c>
      <c r="L23" s="87"/>
      <c r="M23" s="91" t="s">
        <v>81</v>
      </c>
      <c r="N23" s="93">
        <f t="shared" si="3"/>
        <v>1.3336389751131292</v>
      </c>
      <c r="O23" s="93">
        <f t="shared" si="3"/>
        <v>1.0618800306745946</v>
      </c>
      <c r="P23" s="93">
        <f t="shared" si="3"/>
        <v>0.866107710490061</v>
      </c>
      <c r="Q23" s="93">
        <f>Q9*Q16*Q31</f>
        <v>0.9788227548582201</v>
      </c>
      <c r="R23" s="93">
        <f t="shared" si="4"/>
        <v>0.8829420750475201</v>
      </c>
      <c r="S23" s="93">
        <f t="shared" si="4"/>
        <v>0.5632218407179388</v>
      </c>
      <c r="T23" s="87"/>
      <c r="U23" s="89"/>
    </row>
    <row r="24" spans="2:21" ht="15.75">
      <c r="B24" s="87"/>
      <c r="C24" s="87"/>
      <c r="D24" s="87"/>
      <c r="E24" s="87"/>
      <c r="F24" s="87"/>
      <c r="G24" s="87"/>
      <c r="H24" s="87"/>
      <c r="I24" s="87"/>
      <c r="J24" s="88"/>
      <c r="L24" s="87"/>
      <c r="M24" s="91" t="s">
        <v>83</v>
      </c>
      <c r="N24" s="93">
        <f t="shared" si="3"/>
        <v>1.0837258108469536</v>
      </c>
      <c r="O24" s="93">
        <f t="shared" si="3"/>
        <v>0.8152778588291081</v>
      </c>
      <c r="P24" s="93">
        <f t="shared" si="3"/>
        <v>0.69687842553582</v>
      </c>
      <c r="Q24" s="93">
        <f>Q10*Q17*Q32</f>
        <v>0.9468149814832297</v>
      </c>
      <c r="R24" s="93">
        <f t="shared" si="4"/>
        <v>0.8152778588291081</v>
      </c>
      <c r="S24" s="93">
        <f t="shared" si="4"/>
        <v>0.6474198517946119</v>
      </c>
      <c r="T24" s="87"/>
      <c r="U24" s="89"/>
    </row>
    <row r="25" spans="2:21" ht="15.75">
      <c r="B25" s="90" t="s">
        <v>51</v>
      </c>
      <c r="C25" s="91" t="s">
        <v>78</v>
      </c>
      <c r="D25" s="87"/>
      <c r="E25" s="87"/>
      <c r="F25" s="87"/>
      <c r="G25" s="87">
        <f>'Data input'!G28</f>
        <v>0.75</v>
      </c>
      <c r="H25" s="87"/>
      <c r="I25" s="87"/>
      <c r="J25" s="88"/>
      <c r="L25" s="87"/>
      <c r="M25" s="87"/>
      <c r="N25" s="87"/>
      <c r="O25" s="87"/>
      <c r="P25" s="87"/>
      <c r="Q25" s="87"/>
      <c r="R25" s="87"/>
      <c r="S25" s="87"/>
      <c r="T25" s="87"/>
      <c r="U25" s="89"/>
    </row>
    <row r="26" spans="2:21" ht="15.75">
      <c r="B26" s="87" t="s">
        <v>123</v>
      </c>
      <c r="C26" s="91" t="s">
        <v>80</v>
      </c>
      <c r="D26" s="87"/>
      <c r="E26" s="87"/>
      <c r="F26" s="87"/>
      <c r="G26" s="87">
        <f>'Data input'!G29</f>
        <v>0</v>
      </c>
      <c r="H26" s="87"/>
      <c r="I26" s="87"/>
      <c r="J26" s="88"/>
      <c r="L26" s="90" t="s">
        <v>124</v>
      </c>
      <c r="M26" s="87"/>
      <c r="N26" s="90" t="s">
        <v>125</v>
      </c>
      <c r="O26" s="87"/>
      <c r="P26" s="87"/>
      <c r="Q26" s="87"/>
      <c r="R26" s="87"/>
      <c r="S26" s="87"/>
      <c r="T26" s="87"/>
      <c r="U26" s="89" t="s">
        <v>126</v>
      </c>
    </row>
    <row r="27" spans="2:21" ht="15.75">
      <c r="B27" s="87"/>
      <c r="C27" s="91" t="s">
        <v>81</v>
      </c>
      <c r="D27" s="91"/>
      <c r="E27" s="91"/>
      <c r="F27" s="91"/>
      <c r="G27" s="87">
        <f>'Data input'!G30</f>
        <v>0</v>
      </c>
      <c r="H27" s="91"/>
      <c r="I27" s="91"/>
      <c r="J27" s="88"/>
      <c r="L27" s="87"/>
      <c r="M27" s="87" t="s">
        <v>127</v>
      </c>
      <c r="N27" s="87"/>
      <c r="O27" s="87"/>
      <c r="P27" s="87"/>
      <c r="Q27" s="87"/>
      <c r="R27" s="87"/>
      <c r="S27" s="87"/>
      <c r="T27" s="87"/>
      <c r="U27" s="89"/>
    </row>
    <row r="28" spans="2:21" ht="15.75">
      <c r="B28" s="87"/>
      <c r="C28" s="91" t="s">
        <v>83</v>
      </c>
      <c r="D28" s="91"/>
      <c r="E28" s="91"/>
      <c r="F28" s="91"/>
      <c r="G28" s="87">
        <f>'Data input'!G31</f>
        <v>0.25</v>
      </c>
      <c r="H28" s="91"/>
      <c r="I28" s="91"/>
      <c r="J28" s="88"/>
      <c r="L28" s="87"/>
      <c r="M28" s="87" t="s">
        <v>128</v>
      </c>
      <c r="N28" s="87"/>
      <c r="O28" s="87">
        <f>1.3</f>
        <v>1.3</v>
      </c>
      <c r="P28" s="87"/>
      <c r="Q28" s="87"/>
      <c r="R28" s="87"/>
      <c r="S28" s="87"/>
      <c r="T28" s="87"/>
      <c r="U28" s="89"/>
    </row>
    <row r="29" spans="2:21" ht="15.75">
      <c r="B29" s="87"/>
      <c r="C29" s="87"/>
      <c r="D29" s="87"/>
      <c r="E29" s="87"/>
      <c r="F29" s="87"/>
      <c r="G29" s="87"/>
      <c r="H29" s="87"/>
      <c r="I29" s="87"/>
      <c r="J29" s="88"/>
      <c r="L29" s="87"/>
      <c r="M29" s="91" t="s">
        <v>78</v>
      </c>
      <c r="N29" s="87"/>
      <c r="O29" s="87"/>
      <c r="P29" s="87"/>
      <c r="Q29" s="97">
        <f>(G35*$O$28)+((1-G35)*1)</f>
        <v>1.1800000000000002</v>
      </c>
      <c r="R29" s="87"/>
      <c r="S29" s="87"/>
      <c r="T29" s="87"/>
      <c r="U29" s="89"/>
    </row>
    <row r="30" spans="2:21" ht="15.75">
      <c r="B30" s="90" t="s">
        <v>92</v>
      </c>
      <c r="C30" s="91" t="s">
        <v>78</v>
      </c>
      <c r="D30" s="87"/>
      <c r="E30" s="87"/>
      <c r="F30" s="87"/>
      <c r="G30" s="98">
        <f>'Data input'!G34</f>
        <v>0.8</v>
      </c>
      <c r="H30" s="87"/>
      <c r="I30" s="87"/>
      <c r="J30" s="88"/>
      <c r="L30" s="87"/>
      <c r="M30" s="91" t="s">
        <v>80</v>
      </c>
      <c r="N30" s="87"/>
      <c r="O30" s="87"/>
      <c r="P30" s="87"/>
      <c r="Q30" s="97">
        <f>(G36*$O$28)+((1-G36)*1)</f>
        <v>1</v>
      </c>
      <c r="R30" s="87"/>
      <c r="S30" s="87"/>
      <c r="T30" s="87"/>
      <c r="U30" s="89"/>
    </row>
    <row r="31" spans="2:21" ht="15.75">
      <c r="B31" s="87"/>
      <c r="C31" s="91" t="s">
        <v>80</v>
      </c>
      <c r="D31" s="87"/>
      <c r="E31" s="95"/>
      <c r="F31" s="95"/>
      <c r="G31" s="98">
        <f>'Data input'!G35</f>
        <v>0.8</v>
      </c>
      <c r="H31" s="95"/>
      <c r="I31" s="95"/>
      <c r="J31" s="88"/>
      <c r="L31" s="87"/>
      <c r="M31" s="91" t="s">
        <v>81</v>
      </c>
      <c r="N31" s="87"/>
      <c r="O31" s="87"/>
      <c r="P31" s="87"/>
      <c r="Q31" s="97">
        <f>(G37*$O$28)+((1-G37)*1)</f>
        <v>1</v>
      </c>
      <c r="R31" s="87"/>
      <c r="S31" s="87"/>
      <c r="T31" s="87"/>
      <c r="U31" s="89"/>
    </row>
    <row r="32" spans="2:21" ht="15.75">
      <c r="B32" s="87"/>
      <c r="C32" s="91" t="s">
        <v>81</v>
      </c>
      <c r="D32" s="95"/>
      <c r="E32" s="95"/>
      <c r="F32" s="95"/>
      <c r="G32" s="98">
        <f>'Data input'!G36</f>
        <v>0.8</v>
      </c>
      <c r="H32" s="95"/>
      <c r="I32" s="95"/>
      <c r="J32" s="88"/>
      <c r="L32" s="87"/>
      <c r="M32" s="91" t="s">
        <v>83</v>
      </c>
      <c r="N32" s="87"/>
      <c r="O32" s="87"/>
      <c r="P32" s="87"/>
      <c r="Q32" s="97">
        <f>(G38*$O$28)+((1-G38)*1)</f>
        <v>1.06</v>
      </c>
      <c r="R32" s="87"/>
      <c r="S32" s="87"/>
      <c r="T32" s="87"/>
      <c r="U32" s="89"/>
    </row>
    <row r="33" spans="2:21" ht="15.75">
      <c r="B33" s="87"/>
      <c r="C33" s="91" t="s">
        <v>83</v>
      </c>
      <c r="D33" s="95"/>
      <c r="E33" s="271"/>
      <c r="F33" s="271"/>
      <c r="G33" s="272">
        <f>'Data input'!G37</f>
        <v>0.8</v>
      </c>
      <c r="H33" s="271"/>
      <c r="I33" s="271"/>
      <c r="J33" s="273"/>
      <c r="L33" s="87"/>
      <c r="M33" s="87"/>
      <c r="N33" s="87"/>
      <c r="O33" s="87"/>
      <c r="P33" s="87"/>
      <c r="Q33" s="87"/>
      <c r="R33" s="87"/>
      <c r="S33" s="87"/>
      <c r="T33" s="87"/>
      <c r="U33" s="89"/>
    </row>
    <row r="34" spans="2:21" ht="15.75">
      <c r="B34" s="87"/>
      <c r="C34" s="91"/>
      <c r="D34" s="95"/>
      <c r="E34" s="271"/>
      <c r="F34" s="271"/>
      <c r="G34" s="271"/>
      <c r="H34" s="271"/>
      <c r="I34" s="271"/>
      <c r="J34" s="273"/>
      <c r="L34" s="90" t="s">
        <v>129</v>
      </c>
      <c r="M34" s="87"/>
      <c r="N34" s="90" t="s">
        <v>130</v>
      </c>
      <c r="O34" s="87"/>
      <c r="P34" s="87"/>
      <c r="Q34" s="87"/>
      <c r="R34" s="87"/>
      <c r="S34" s="87"/>
      <c r="T34" s="87"/>
      <c r="U34" s="89" t="s">
        <v>131</v>
      </c>
    </row>
    <row r="35" spans="2:21" ht="15.75">
      <c r="B35" s="90" t="s">
        <v>132</v>
      </c>
      <c r="C35" s="91" t="s">
        <v>78</v>
      </c>
      <c r="D35" s="93"/>
      <c r="E35" s="274"/>
      <c r="F35" s="274"/>
      <c r="G35" s="275">
        <f>G30*G25</f>
        <v>0.6000000000000001</v>
      </c>
      <c r="H35" s="274"/>
      <c r="I35" s="274"/>
      <c r="J35" s="273"/>
      <c r="L35" s="87"/>
      <c r="M35" s="91" t="s">
        <v>78</v>
      </c>
      <c r="N35" s="93">
        <f aca="true" t="shared" si="5" ref="N35:S38">N21*0.0188+0.00158</f>
        <v>0.030975049527662182</v>
      </c>
      <c r="O35" s="93">
        <f t="shared" si="5"/>
        <v>0.026521439170934902</v>
      </c>
      <c r="P35" s="93">
        <f t="shared" si="5"/>
        <v>0.020176820629300637</v>
      </c>
      <c r="Q35" s="93">
        <f t="shared" si="5"/>
        <v>0.025968933108644534</v>
      </c>
      <c r="R35" s="93">
        <f t="shared" si="5"/>
        <v>0.022248587380207227</v>
      </c>
      <c r="S35" s="93">
        <f t="shared" si="5"/>
        <v>0.010338216407409867</v>
      </c>
      <c r="T35" s="87" t="s">
        <v>133</v>
      </c>
      <c r="U35" s="89"/>
    </row>
    <row r="36" spans="2:21" ht="15.75">
      <c r="B36" s="87"/>
      <c r="C36" s="91" t="s">
        <v>80</v>
      </c>
      <c r="D36" s="87"/>
      <c r="E36" s="276"/>
      <c r="F36" s="276"/>
      <c r="G36" s="275">
        <f>G31*G26</f>
        <v>0</v>
      </c>
      <c r="H36" s="276"/>
      <c r="I36" s="276"/>
      <c r="J36" s="273"/>
      <c r="L36" s="87"/>
      <c r="M36" s="91" t="s">
        <v>80</v>
      </c>
      <c r="N36" s="93">
        <f t="shared" si="5"/>
        <v>0.023344510908123194</v>
      </c>
      <c r="O36" s="93">
        <f t="shared" si="5"/>
        <v>0.019622326472783697</v>
      </c>
      <c r="P36" s="93">
        <f t="shared" si="5"/>
        <v>0.016093714679864916</v>
      </c>
      <c r="Q36" s="93">
        <f t="shared" si="5"/>
        <v>0.01782956036214263</v>
      </c>
      <c r="R36" s="93">
        <f t="shared" si="5"/>
        <v>0.01782956036214263</v>
      </c>
      <c r="S36" s="93">
        <f t="shared" si="5"/>
        <v>0.010503858493733557</v>
      </c>
      <c r="T36" s="87" t="s">
        <v>133</v>
      </c>
      <c r="U36" s="89"/>
    </row>
    <row r="37" spans="2:21" ht="15.75">
      <c r="B37" s="87"/>
      <c r="C37" s="91" t="s">
        <v>81</v>
      </c>
      <c r="D37" s="87"/>
      <c r="E37" s="401"/>
      <c r="F37" s="277"/>
      <c r="G37" s="275">
        <f>G32*G27</f>
        <v>0</v>
      </c>
      <c r="H37" s="401"/>
      <c r="I37" s="401"/>
      <c r="J37" s="401"/>
      <c r="L37" s="87"/>
      <c r="M37" s="91" t="s">
        <v>81</v>
      </c>
      <c r="N37" s="93">
        <f t="shared" si="5"/>
        <v>0.02665241273212683</v>
      </c>
      <c r="O37" s="93">
        <f t="shared" si="5"/>
        <v>0.02154334457668238</v>
      </c>
      <c r="P37" s="93">
        <f t="shared" si="5"/>
        <v>0.01786282495721315</v>
      </c>
      <c r="Q37" s="93">
        <f t="shared" si="5"/>
        <v>0.01998186779133454</v>
      </c>
      <c r="R37" s="93">
        <f t="shared" si="5"/>
        <v>0.01817931101089338</v>
      </c>
      <c r="S37" s="93">
        <f t="shared" si="5"/>
        <v>0.01216857060549725</v>
      </c>
      <c r="T37" s="87" t="s">
        <v>133</v>
      </c>
      <c r="U37" s="89"/>
    </row>
    <row r="38" spans="2:26" ht="15.75" customHeight="1">
      <c r="B38" s="87"/>
      <c r="C38" s="91" t="s">
        <v>83</v>
      </c>
      <c r="D38" s="87"/>
      <c r="E38" s="401"/>
      <c r="F38" s="276"/>
      <c r="G38" s="275">
        <f>G33*G28</f>
        <v>0.2</v>
      </c>
      <c r="H38" s="276"/>
      <c r="I38" s="276"/>
      <c r="J38" s="273"/>
      <c r="L38" s="87"/>
      <c r="M38" s="91" t="s">
        <v>83</v>
      </c>
      <c r="N38" s="93">
        <f t="shared" si="5"/>
        <v>0.02195404524392273</v>
      </c>
      <c r="O38" s="93">
        <f t="shared" si="5"/>
        <v>0.016907223745987233</v>
      </c>
      <c r="P38" s="93">
        <f t="shared" si="5"/>
        <v>0.014681314400073416</v>
      </c>
      <c r="Q38" s="93">
        <f t="shared" si="5"/>
        <v>0.01938012165188472</v>
      </c>
      <c r="R38" s="93">
        <f t="shared" si="5"/>
        <v>0.016907223745987233</v>
      </c>
      <c r="S38" s="93">
        <f t="shared" si="5"/>
        <v>0.013751493213738704</v>
      </c>
      <c r="T38" s="87" t="s">
        <v>133</v>
      </c>
      <c r="U38" s="89"/>
      <c r="V38" s="99"/>
      <c r="W38" s="99"/>
      <c r="X38" s="99"/>
      <c r="Y38" s="402"/>
      <c r="Z38" s="402"/>
    </row>
    <row r="39" spans="2:22" ht="15.75">
      <c r="B39" s="87"/>
      <c r="C39" s="91"/>
      <c r="D39" s="91"/>
      <c r="E39" s="278"/>
      <c r="F39" s="278"/>
      <c r="G39" s="278"/>
      <c r="H39" s="276"/>
      <c r="I39" s="276"/>
      <c r="J39" s="273"/>
      <c r="L39" s="87"/>
      <c r="M39" s="87"/>
      <c r="N39" s="87"/>
      <c r="O39" s="87"/>
      <c r="P39" s="87"/>
      <c r="Q39" s="87"/>
      <c r="R39" s="87"/>
      <c r="S39" s="87"/>
      <c r="T39" s="87"/>
      <c r="U39" s="89"/>
      <c r="V39" s="84"/>
    </row>
    <row r="40" spans="2:22" ht="15.75">
      <c r="B40" s="90" t="s">
        <v>134</v>
      </c>
      <c r="C40" s="91" t="s">
        <v>78</v>
      </c>
      <c r="D40" s="91">
        <f>'Data input'!D4</f>
        <v>50</v>
      </c>
      <c r="E40" s="278">
        <f>'Data input'!E4</f>
        <v>2000</v>
      </c>
      <c r="F40" s="278">
        <f>'Data input'!F4</f>
        <v>500</v>
      </c>
      <c r="G40" s="278">
        <f>'Data input'!G4</f>
        <v>500</v>
      </c>
      <c r="H40" s="278">
        <f>'Data input'!H4</f>
        <v>0</v>
      </c>
      <c r="I40" s="278">
        <f>'Data input'!I4</f>
        <v>0</v>
      </c>
      <c r="J40" s="278" t="str">
        <f>'Data input'!J4</f>
        <v>head</v>
      </c>
      <c r="K40" s="79"/>
      <c r="L40" s="90" t="s">
        <v>135</v>
      </c>
      <c r="M40" s="87"/>
      <c r="N40" s="90" t="s">
        <v>136</v>
      </c>
      <c r="O40" s="87"/>
      <c r="P40" s="87"/>
      <c r="Q40" s="87"/>
      <c r="R40" s="87"/>
      <c r="S40" s="87"/>
      <c r="T40" s="87"/>
      <c r="U40" s="89" t="s">
        <v>137</v>
      </c>
      <c r="V40" s="84"/>
    </row>
    <row r="41" spans="2:22" ht="15.75">
      <c r="B41" s="87"/>
      <c r="C41" s="91" t="s">
        <v>80</v>
      </c>
      <c r="D41" s="91">
        <f>'Data input'!D5</f>
        <v>50</v>
      </c>
      <c r="E41" s="278">
        <f>'Data input'!E5</f>
        <v>2000</v>
      </c>
      <c r="F41" s="278">
        <f>'Data input'!F5</f>
        <v>500</v>
      </c>
      <c r="G41" s="278">
        <f>'Data input'!G5</f>
        <v>500</v>
      </c>
      <c r="H41" s="278">
        <f>'Data input'!H5</f>
        <v>0</v>
      </c>
      <c r="I41" s="278">
        <f>'Data input'!I5</f>
        <v>0</v>
      </c>
      <c r="J41" s="278" t="str">
        <f>'Data input'!J5</f>
        <v>head</v>
      </c>
      <c r="L41" s="87"/>
      <c r="M41" s="91" t="s">
        <v>78</v>
      </c>
      <c r="N41" s="93">
        <f aca="true" t="shared" si="6" ref="N41:S44">(91.25*D40*N35)*10^-6</f>
        <v>0.00014132366346995872</v>
      </c>
      <c r="O41" s="93">
        <f t="shared" si="6"/>
        <v>0.004840162648695619</v>
      </c>
      <c r="P41" s="93">
        <f t="shared" si="6"/>
        <v>0.0009205674412118415</v>
      </c>
      <c r="Q41" s="93">
        <f t="shared" si="6"/>
        <v>0.0011848325730819068</v>
      </c>
      <c r="R41" s="93">
        <f t="shared" si="6"/>
        <v>0</v>
      </c>
      <c r="S41" s="93">
        <f t="shared" si="6"/>
        <v>0</v>
      </c>
      <c r="T41" s="87" t="s">
        <v>138</v>
      </c>
      <c r="U41" s="89"/>
      <c r="V41" s="84"/>
    </row>
    <row r="42" spans="2:22" ht="15.75">
      <c r="B42" s="87"/>
      <c r="C42" s="91" t="s">
        <v>81</v>
      </c>
      <c r="D42" s="91">
        <f>'Data input'!D6</f>
        <v>50</v>
      </c>
      <c r="E42" s="91">
        <f>'Data input'!E6</f>
        <v>2000</v>
      </c>
      <c r="F42" s="91">
        <f>'Data input'!F6</f>
        <v>500</v>
      </c>
      <c r="G42" s="91">
        <f>'Data input'!G6</f>
        <v>500</v>
      </c>
      <c r="H42" s="91">
        <f>'Data input'!H6</f>
        <v>0</v>
      </c>
      <c r="I42" s="91">
        <f>'Data input'!I6</f>
        <v>0</v>
      </c>
      <c r="J42" s="91" t="str">
        <f>'Data input'!J6</f>
        <v>head</v>
      </c>
      <c r="L42" s="87"/>
      <c r="M42" s="91" t="s">
        <v>80</v>
      </c>
      <c r="N42" s="93">
        <f t="shared" si="6"/>
        <v>0.00010650933101831206</v>
      </c>
      <c r="O42" s="93">
        <f t="shared" si="6"/>
        <v>0.0035810745812830244</v>
      </c>
      <c r="P42" s="93">
        <f t="shared" si="6"/>
        <v>0.0007342757322688368</v>
      </c>
      <c r="Q42" s="93">
        <f t="shared" si="6"/>
        <v>0.0008134736915227575</v>
      </c>
      <c r="R42" s="93">
        <f t="shared" si="6"/>
        <v>0</v>
      </c>
      <c r="S42" s="93">
        <f t="shared" si="6"/>
        <v>0</v>
      </c>
      <c r="T42" s="87" t="s">
        <v>138</v>
      </c>
      <c r="U42" s="89"/>
      <c r="V42" s="84"/>
    </row>
    <row r="43" spans="2:22" ht="15.75">
      <c r="B43" s="101"/>
      <c r="C43" s="102" t="s">
        <v>83</v>
      </c>
      <c r="D43" s="102">
        <f>'Data input'!D7</f>
        <v>50</v>
      </c>
      <c r="E43" s="102">
        <f>'Data input'!E7</f>
        <v>2000</v>
      </c>
      <c r="F43" s="102">
        <f>'Data input'!F7</f>
        <v>500</v>
      </c>
      <c r="G43" s="102">
        <f>'Data input'!G7</f>
        <v>500</v>
      </c>
      <c r="H43" s="102">
        <f>'Data input'!H7</f>
        <v>0</v>
      </c>
      <c r="I43" s="102">
        <f>'Data input'!I7</f>
        <v>0</v>
      </c>
      <c r="J43" s="102" t="str">
        <f>'Data input'!J7</f>
        <v>head</v>
      </c>
      <c r="L43" s="87"/>
      <c r="M43" s="91" t="s">
        <v>81</v>
      </c>
      <c r="N43" s="93">
        <f t="shared" si="6"/>
        <v>0.00012160163309032867</v>
      </c>
      <c r="O43" s="93">
        <f t="shared" si="6"/>
        <v>0.003931660385244534</v>
      </c>
      <c r="P43" s="93">
        <f t="shared" si="6"/>
        <v>0.0008149913886728498</v>
      </c>
      <c r="Q43" s="93">
        <f t="shared" si="6"/>
        <v>0.0009116727179796383</v>
      </c>
      <c r="R43" s="93">
        <f t="shared" si="6"/>
        <v>0</v>
      </c>
      <c r="S43" s="93">
        <f t="shared" si="6"/>
        <v>0</v>
      </c>
      <c r="T43" s="87" t="s">
        <v>138</v>
      </c>
      <c r="U43" s="89"/>
      <c r="V43" s="84"/>
    </row>
    <row r="44" spans="12:22" ht="15.75">
      <c r="L44" s="87"/>
      <c r="M44" s="91" t="s">
        <v>83</v>
      </c>
      <c r="N44" s="93">
        <f t="shared" si="6"/>
        <v>0.00010016533142539745</v>
      </c>
      <c r="O44" s="93">
        <f t="shared" si="6"/>
        <v>0.00308556833364267</v>
      </c>
      <c r="P44" s="93">
        <f t="shared" si="6"/>
        <v>0.0006698349695033496</v>
      </c>
      <c r="Q44" s="93">
        <f t="shared" si="6"/>
        <v>0.0008842180503672403</v>
      </c>
      <c r="R44" s="93">
        <f t="shared" si="6"/>
        <v>0</v>
      </c>
      <c r="S44" s="93">
        <f t="shared" si="6"/>
        <v>0</v>
      </c>
      <c r="T44" s="87" t="s">
        <v>138</v>
      </c>
      <c r="U44" s="89"/>
      <c r="V44" s="84"/>
    </row>
    <row r="45" spans="12:22" ht="15.75">
      <c r="L45" s="87"/>
      <c r="M45" s="87"/>
      <c r="N45" s="87"/>
      <c r="O45" s="87"/>
      <c r="P45" s="87"/>
      <c r="Q45" s="87"/>
      <c r="R45" s="87"/>
      <c r="S45" s="87"/>
      <c r="T45" s="87"/>
      <c r="U45" s="89"/>
      <c r="V45" s="84"/>
    </row>
    <row r="46" spans="12:22" ht="15.75">
      <c r="L46" s="90" t="s">
        <v>139</v>
      </c>
      <c r="M46" s="98">
        <f>SUM(N41:S44)</f>
        <v>0.022841932472478267</v>
      </c>
      <c r="N46" s="87"/>
      <c r="O46" s="87"/>
      <c r="P46" s="87"/>
      <c r="Q46" s="87"/>
      <c r="R46" s="87"/>
      <c r="S46" s="87"/>
      <c r="T46" s="87" t="s">
        <v>140</v>
      </c>
      <c r="U46" s="89"/>
      <c r="V46" s="84"/>
    </row>
    <row r="47" spans="12:22" ht="15.75">
      <c r="L47" s="90" t="s">
        <v>139</v>
      </c>
      <c r="M47" s="98">
        <f>M46*21</f>
        <v>0.4796805819220436</v>
      </c>
      <c r="N47" s="87"/>
      <c r="O47" s="87"/>
      <c r="P47" s="87"/>
      <c r="Q47" s="87"/>
      <c r="R47" s="87"/>
      <c r="S47" s="87"/>
      <c r="T47" s="87" t="s">
        <v>141</v>
      </c>
      <c r="U47" s="89"/>
      <c r="V47" s="84"/>
    </row>
    <row r="48" spans="12:21" ht="15.75">
      <c r="L48" s="103" t="s">
        <v>139</v>
      </c>
      <c r="M48" s="104">
        <f>M47*10^3</f>
        <v>479.6805819220436</v>
      </c>
      <c r="N48" s="101"/>
      <c r="O48" s="101"/>
      <c r="P48" s="101"/>
      <c r="Q48" s="101"/>
      <c r="R48" s="101"/>
      <c r="S48" s="101"/>
      <c r="T48" s="101" t="s">
        <v>142</v>
      </c>
      <c r="U48" s="105"/>
    </row>
    <row r="85" spans="5:9" ht="15.75">
      <c r="E85" s="106"/>
      <c r="G85" s="106"/>
      <c r="I85" s="106"/>
    </row>
    <row r="92" ht="15.75">
      <c r="J92" s="107"/>
    </row>
  </sheetData>
  <sheetProtection sheet="1"/>
  <mergeCells count="3">
    <mergeCell ref="E37:E38"/>
    <mergeCell ref="H37:J37"/>
    <mergeCell ref="Y38:Z38"/>
  </mergeCells>
  <printOptions/>
  <pageMargins left="0.7500000000000001" right="0.7500000000000001" top="1" bottom="1" header="0.5" footer="0.5"/>
  <pageSetup fitToHeight="0" fitToWidth="0" orientation="portrait" paperSize="9"/>
  <legacyDrawing r:id="rId2"/>
</worksheet>
</file>

<file path=xl/worksheets/sheet5.xml><?xml version="1.0" encoding="utf-8"?>
<worksheet xmlns="http://schemas.openxmlformats.org/spreadsheetml/2006/main" xmlns:r="http://schemas.openxmlformats.org/officeDocument/2006/relationships">
  <dimension ref="B1:N54"/>
  <sheetViews>
    <sheetView showGridLines="0" zoomScale="80" zoomScaleNormal="80" zoomScalePageLayoutView="0" workbookViewId="0" topLeftCell="A1">
      <selection activeCell="A1" sqref="A1"/>
    </sheetView>
  </sheetViews>
  <sheetFormatPr defaultColWidth="8.8515625" defaultRowHeight="12.75"/>
  <cols>
    <col min="1" max="1" width="2.7109375" style="78" customWidth="1"/>
    <col min="2" max="2" width="31.28125" style="78" customWidth="1"/>
    <col min="3" max="3" width="11.57421875" style="78" customWidth="1"/>
    <col min="4" max="4" width="9.8515625" style="78" customWidth="1"/>
    <col min="5" max="5" width="10.140625" style="78" customWidth="1"/>
    <col min="6" max="6" width="16.8515625" style="78" customWidth="1"/>
    <col min="7" max="7" width="15.140625" style="78" customWidth="1"/>
    <col min="8" max="8" width="12.28125" style="78" customWidth="1"/>
    <col min="9" max="9" width="19.57421875" style="78" customWidth="1"/>
    <col min="10" max="10" width="18.28125" style="83" customWidth="1"/>
    <col min="11" max="11" width="19.28125" style="84" customWidth="1"/>
    <col min="12" max="12" width="9.8515625" style="78" customWidth="1"/>
    <col min="13" max="13" width="2.140625" style="78" customWidth="1"/>
    <col min="14" max="14" width="10.28125" style="78" customWidth="1"/>
    <col min="15" max="15" width="8.8515625" style="78" customWidth="1"/>
    <col min="16" max="16384" width="8.8515625" style="78" customWidth="1"/>
  </cols>
  <sheetData>
    <row r="1" ht="25.5" customHeight="1">
      <c r="B1" s="82" t="s">
        <v>143</v>
      </c>
    </row>
    <row r="2" spans="13:14" ht="12.75" customHeight="1">
      <c r="M2" s="108">
        <v>1</v>
      </c>
      <c r="N2" s="109" t="s">
        <v>144</v>
      </c>
    </row>
    <row r="3" spans="2:14" ht="12.75" customHeight="1">
      <c r="B3" s="110" t="s">
        <v>104</v>
      </c>
      <c r="C3" s="110" t="s">
        <v>105</v>
      </c>
      <c r="D3" s="110" t="str">
        <f>'Data input'!D3</f>
        <v>Rams</v>
      </c>
      <c r="E3" s="110" t="str">
        <f>'Data input'!E3</f>
        <v>Wethers</v>
      </c>
      <c r="F3" s="110" t="str">
        <f>'Data input'!F3</f>
        <v>Maiden breeding ewes</v>
      </c>
      <c r="G3" s="110" t="str">
        <f>'Data input'!G3</f>
        <v>Breeding ewes</v>
      </c>
      <c r="H3" s="110" t="str">
        <f>'Data input'!H3</f>
        <v>Other ewes</v>
      </c>
      <c r="I3" s="110" t="str">
        <f>'Data input'!I3</f>
        <v>Lambs and hoggets</v>
      </c>
      <c r="J3" s="110" t="str">
        <f>'Data input'!J3</f>
        <v>Units</v>
      </c>
      <c r="K3" s="111" t="s">
        <v>418</v>
      </c>
      <c r="M3" s="112">
        <v>2</v>
      </c>
      <c r="N3" s="113" t="s">
        <v>145</v>
      </c>
    </row>
    <row r="4" spans="2:14" ht="12.75" customHeight="1">
      <c r="B4" s="114"/>
      <c r="C4" s="114"/>
      <c r="D4" s="114"/>
      <c r="E4" s="114"/>
      <c r="F4" s="114"/>
      <c r="G4" s="114"/>
      <c r="H4" s="114"/>
      <c r="I4" s="114"/>
      <c r="J4" s="115"/>
      <c r="K4" s="116"/>
      <c r="M4" s="112">
        <v>3</v>
      </c>
      <c r="N4" s="113" t="s">
        <v>146</v>
      </c>
    </row>
    <row r="5" spans="2:14" ht="12.75" customHeight="1">
      <c r="B5" s="117" t="s">
        <v>421</v>
      </c>
      <c r="C5" s="114" t="s">
        <v>78</v>
      </c>
      <c r="D5" s="114">
        <f>'Data input'!D46</f>
        <v>70</v>
      </c>
      <c r="E5" s="114">
        <f>'Data input'!E46</f>
        <v>70</v>
      </c>
      <c r="F5" s="114">
        <f>'Data input'!F46</f>
        <v>70</v>
      </c>
      <c r="G5" s="114">
        <f>'Data input'!G46</f>
        <v>70</v>
      </c>
      <c r="H5" s="114">
        <f>'Data input'!H46</f>
        <v>70</v>
      </c>
      <c r="I5" s="114">
        <f>'Data input'!I46</f>
        <v>70</v>
      </c>
      <c r="J5" s="115" t="str">
        <f>'Data input'!J46</f>
        <v>%</v>
      </c>
      <c r="K5" s="116"/>
      <c r="M5" s="112">
        <v>4</v>
      </c>
      <c r="N5" s="113" t="s">
        <v>147</v>
      </c>
    </row>
    <row r="6" spans="2:14" ht="12.75" customHeight="1">
      <c r="B6" s="114"/>
      <c r="C6" s="114" t="s">
        <v>80</v>
      </c>
      <c r="D6" s="114">
        <f>'Data input'!D47</f>
        <v>55</v>
      </c>
      <c r="E6" s="114">
        <f>'Data input'!E47</f>
        <v>55</v>
      </c>
      <c r="F6" s="114">
        <f>'Data input'!F47</f>
        <v>55</v>
      </c>
      <c r="G6" s="114">
        <f>'Data input'!G47</f>
        <v>55</v>
      </c>
      <c r="H6" s="114">
        <f>'Data input'!H47</f>
        <v>55</v>
      </c>
      <c r="I6" s="114">
        <f>'Data input'!I47</f>
        <v>60</v>
      </c>
      <c r="J6" s="115" t="str">
        <f>'Data input'!J47</f>
        <v>%</v>
      </c>
      <c r="K6" s="116"/>
      <c r="M6" s="112">
        <v>5</v>
      </c>
      <c r="N6" s="113" t="s">
        <v>148</v>
      </c>
    </row>
    <row r="7" spans="2:14" ht="12.75" customHeight="1">
      <c r="B7" s="114"/>
      <c r="C7" s="114" t="s">
        <v>81</v>
      </c>
      <c r="D7" s="114">
        <f>'Data input'!D48</f>
        <v>65</v>
      </c>
      <c r="E7" s="114">
        <f>'Data input'!E48</f>
        <v>65</v>
      </c>
      <c r="F7" s="114">
        <f>'Data input'!F48</f>
        <v>65</v>
      </c>
      <c r="G7" s="114">
        <f>'Data input'!G48</f>
        <v>65</v>
      </c>
      <c r="H7" s="114">
        <f>'Data input'!H48</f>
        <v>65</v>
      </c>
      <c r="I7" s="114">
        <f>'Data input'!I48</f>
        <v>60</v>
      </c>
      <c r="J7" s="115" t="str">
        <f>'Data input'!J48</f>
        <v>%</v>
      </c>
      <c r="K7" s="116"/>
      <c r="M7" s="112">
        <v>6</v>
      </c>
      <c r="N7" s="113" t="s">
        <v>149</v>
      </c>
    </row>
    <row r="8" spans="2:14" ht="12.75" customHeight="1">
      <c r="B8" s="114"/>
      <c r="C8" s="114" t="s">
        <v>83</v>
      </c>
      <c r="D8" s="114">
        <f>'Data input'!D49</f>
        <v>60</v>
      </c>
      <c r="E8" s="114">
        <f>'Data input'!E49</f>
        <v>60</v>
      </c>
      <c r="F8" s="114">
        <f>'Data input'!F49</f>
        <v>60</v>
      </c>
      <c r="G8" s="114">
        <f>'Data input'!G49</f>
        <v>60</v>
      </c>
      <c r="H8" s="114">
        <f>'Data input'!H49</f>
        <v>60</v>
      </c>
      <c r="I8" s="114">
        <f>'Data input'!I49</f>
        <v>60</v>
      </c>
      <c r="J8" s="115" t="str">
        <f>'Data input'!J49</f>
        <v>%</v>
      </c>
      <c r="K8" s="116"/>
      <c r="M8" s="118">
        <v>7</v>
      </c>
      <c r="N8" s="119" t="s">
        <v>150</v>
      </c>
    </row>
    <row r="9" spans="2:11" ht="12.75" customHeight="1">
      <c r="B9" s="114"/>
      <c r="C9" s="114"/>
      <c r="D9" s="114"/>
      <c r="E9" s="114"/>
      <c r="F9" s="114"/>
      <c r="G9" s="114"/>
      <c r="H9" s="114"/>
      <c r="I9" s="114"/>
      <c r="J9" s="115"/>
      <c r="K9" s="116"/>
    </row>
    <row r="10" spans="2:11" ht="12.75" customHeight="1">
      <c r="B10" s="117" t="s">
        <v>151</v>
      </c>
      <c r="C10" s="114">
        <f>IF('Data input'!M4=2,C11,IF('Data input'!M4=3,C11,C12))</f>
        <v>1.4E-05</v>
      </c>
      <c r="D10" s="114"/>
      <c r="E10" s="114"/>
      <c r="F10" s="114"/>
      <c r="G10" s="114"/>
      <c r="H10" s="114"/>
      <c r="I10" s="114"/>
      <c r="J10" s="115"/>
      <c r="K10" s="116"/>
    </row>
    <row r="11" spans="2:11" ht="12.75" customHeight="1">
      <c r="B11" s="114" t="s">
        <v>152</v>
      </c>
      <c r="C11" s="114">
        <v>5.4E-05</v>
      </c>
      <c r="D11" s="114"/>
      <c r="E11" s="114"/>
      <c r="F11" s="114"/>
      <c r="G11" s="114"/>
      <c r="H11" s="114"/>
      <c r="I11" s="114"/>
      <c r="J11" s="115"/>
      <c r="K11" s="116"/>
    </row>
    <row r="12" spans="2:11" ht="12.75" customHeight="1">
      <c r="B12" s="114" t="s">
        <v>153</v>
      </c>
      <c r="C12" s="114">
        <v>1.4E-05</v>
      </c>
      <c r="D12" s="114"/>
      <c r="E12" s="114"/>
      <c r="F12" s="114"/>
      <c r="G12" s="114"/>
      <c r="H12" s="114"/>
      <c r="I12" s="114"/>
      <c r="J12" s="115"/>
      <c r="K12" s="116"/>
    </row>
    <row r="13" spans="2:11" ht="12.75" customHeight="1">
      <c r="B13" s="114"/>
      <c r="C13" s="114"/>
      <c r="D13" s="114"/>
      <c r="E13" s="114"/>
      <c r="F13" s="114"/>
      <c r="G13" s="114"/>
      <c r="H13" s="114"/>
      <c r="I13" s="114"/>
      <c r="J13" s="115"/>
      <c r="K13" s="116"/>
    </row>
    <row r="14" spans="2:11" ht="12.75" customHeight="1">
      <c r="B14" s="114" t="s">
        <v>154</v>
      </c>
      <c r="C14" s="114" t="s">
        <v>78</v>
      </c>
      <c r="D14" s="114">
        <f>'Data input'!D4</f>
        <v>50</v>
      </c>
      <c r="E14" s="114">
        <f>'Data input'!E4</f>
        <v>2000</v>
      </c>
      <c r="F14" s="114">
        <f>'Data input'!F4</f>
        <v>500</v>
      </c>
      <c r="G14" s="114">
        <f>'Data input'!G4</f>
        <v>500</v>
      </c>
      <c r="H14" s="114">
        <f>'Data input'!H4</f>
        <v>0</v>
      </c>
      <c r="I14" s="114">
        <f>'Data input'!I4</f>
        <v>0</v>
      </c>
      <c r="J14" s="115" t="str">
        <f>'Data input'!J4</f>
        <v>head</v>
      </c>
      <c r="K14" s="116"/>
    </row>
    <row r="15" spans="2:11" ht="12.75" customHeight="1">
      <c r="B15" s="114"/>
      <c r="C15" s="114" t="s">
        <v>80</v>
      </c>
      <c r="D15" s="114">
        <f>'Data input'!D5</f>
        <v>50</v>
      </c>
      <c r="E15" s="114">
        <f>'Data input'!E5</f>
        <v>2000</v>
      </c>
      <c r="F15" s="114">
        <f>'Data input'!F5</f>
        <v>500</v>
      </c>
      <c r="G15" s="114">
        <f>'Data input'!G5</f>
        <v>500</v>
      </c>
      <c r="H15" s="114">
        <f>'Data input'!H5</f>
        <v>0</v>
      </c>
      <c r="I15" s="114">
        <f>'Data input'!I5</f>
        <v>0</v>
      </c>
      <c r="J15" s="115" t="str">
        <f>'Data input'!J5</f>
        <v>head</v>
      </c>
      <c r="K15" s="116"/>
    </row>
    <row r="16" spans="2:11" ht="12.75" customHeight="1">
      <c r="B16" s="114"/>
      <c r="C16" s="114" t="s">
        <v>81</v>
      </c>
      <c r="D16" s="114">
        <f>'Data input'!D6</f>
        <v>50</v>
      </c>
      <c r="E16" s="114">
        <f>'Data input'!E6</f>
        <v>2000</v>
      </c>
      <c r="F16" s="114">
        <f>'Data input'!F6</f>
        <v>500</v>
      </c>
      <c r="G16" s="114">
        <f>'Data input'!G6</f>
        <v>500</v>
      </c>
      <c r="H16" s="114">
        <f>'Data input'!H6</f>
        <v>0</v>
      </c>
      <c r="I16" s="114">
        <f>'Data input'!I6</f>
        <v>0</v>
      </c>
      <c r="J16" s="115" t="str">
        <f>'Data input'!J6</f>
        <v>head</v>
      </c>
      <c r="K16" s="116"/>
    </row>
    <row r="17" spans="2:11" ht="12.75" customHeight="1">
      <c r="B17" s="114"/>
      <c r="C17" s="114" t="s">
        <v>83</v>
      </c>
      <c r="D17" s="114">
        <f>'Data input'!D7</f>
        <v>50</v>
      </c>
      <c r="E17" s="114">
        <f>'Data input'!E7</f>
        <v>2000</v>
      </c>
      <c r="F17" s="114">
        <f>'Data input'!F7</f>
        <v>500</v>
      </c>
      <c r="G17" s="114">
        <f>'Data input'!G7</f>
        <v>500</v>
      </c>
      <c r="H17" s="114">
        <f>'Data input'!H7</f>
        <v>0</v>
      </c>
      <c r="I17" s="114">
        <f>'Data input'!I7</f>
        <v>0</v>
      </c>
      <c r="J17" s="115" t="str">
        <f>'Data input'!J7</f>
        <v>head</v>
      </c>
      <c r="K17" s="116"/>
    </row>
    <row r="18" spans="2:11" ht="12.75" customHeight="1">
      <c r="B18" s="120"/>
      <c r="C18" s="120"/>
      <c r="D18" s="120"/>
      <c r="E18" s="120"/>
      <c r="F18" s="120"/>
      <c r="G18" s="120"/>
      <c r="H18" s="120"/>
      <c r="I18" s="120"/>
      <c r="J18" s="121"/>
      <c r="K18" s="116"/>
    </row>
    <row r="19" spans="2:11" ht="12.75" customHeight="1">
      <c r="B19" s="114"/>
      <c r="C19" s="114"/>
      <c r="D19" s="114"/>
      <c r="E19" s="114"/>
      <c r="F19" s="114"/>
      <c r="G19" s="114"/>
      <c r="H19" s="114"/>
      <c r="I19" s="114"/>
      <c r="J19" s="115"/>
      <c r="K19" s="116"/>
    </row>
    <row r="20" spans="2:11" ht="12.75" customHeight="1">
      <c r="B20" s="122"/>
      <c r="C20" s="122"/>
      <c r="D20" s="122"/>
      <c r="E20" s="122"/>
      <c r="F20" s="122"/>
      <c r="G20" s="122"/>
      <c r="H20" s="122"/>
      <c r="I20" s="122"/>
      <c r="J20" s="123"/>
      <c r="K20" s="116"/>
    </row>
    <row r="21" spans="2:11" ht="12.75" customHeight="1">
      <c r="B21" s="117" t="s">
        <v>155</v>
      </c>
      <c r="C21" s="114"/>
      <c r="D21" s="117" t="s">
        <v>156</v>
      </c>
      <c r="E21" s="114"/>
      <c r="F21" s="114"/>
      <c r="G21" s="114"/>
      <c r="H21" s="114"/>
      <c r="I21" s="114"/>
      <c r="J21" s="115"/>
      <c r="K21" s="116" t="s">
        <v>157</v>
      </c>
    </row>
    <row r="22" spans="2:11" ht="12.75" customHeight="1">
      <c r="B22" s="117"/>
      <c r="C22" s="114" t="s">
        <v>78</v>
      </c>
      <c r="D22" s="124">
        <f>'Enteric fermentation'!N21*(1-D5%)*$C$10</f>
        <v>6.5669791497968704E-06</v>
      </c>
      <c r="E22" s="124">
        <f>'Enteric fermentation'!O21*(1-E5%)*$C$10</f>
        <v>5.572023644570563E-06</v>
      </c>
      <c r="F22" s="124">
        <f>'Enteric fermentation'!P21*(1-F5%)*$C$10</f>
        <v>4.154608863992696E-06</v>
      </c>
      <c r="G22" s="124">
        <f>'Enteric fermentation'!Q21*(1-G5%)*$C$10</f>
        <v>5.448591439165269E-06</v>
      </c>
      <c r="H22" s="124">
        <f>'Enteric fermentation'!R21*(1-H5%)*$C$10</f>
        <v>4.6174503721739545E-06</v>
      </c>
      <c r="I22" s="124">
        <f>'Enteric fermentation'!S21*(1-I5%)*$C$10</f>
        <v>1.9566228144213536E-06</v>
      </c>
      <c r="J22" s="115" t="s">
        <v>158</v>
      </c>
      <c r="K22" s="116"/>
    </row>
    <row r="23" spans="2:11" ht="12.75" customHeight="1">
      <c r="B23" s="117"/>
      <c r="C23" s="114" t="s">
        <v>80</v>
      </c>
      <c r="D23" s="124">
        <f>'Enteric fermentation'!N22*(1-D6%)*$C$10</f>
        <v>7.2934265277221325E-06</v>
      </c>
      <c r="E23" s="124">
        <f>'Enteric fermentation'!O22*(1-E6%)*$C$10</f>
        <v>6.046098764815812E-06</v>
      </c>
      <c r="F23" s="124">
        <f>'Enteric fermentation'!P22*(1-F6%)*$C$10</f>
        <v>4.863638429954731E-06</v>
      </c>
      <c r="G23" s="124">
        <f>'Enteric fermentation'!Q22*(1-G6%)*$C$10</f>
        <v>5.445331397952049E-06</v>
      </c>
      <c r="H23" s="124">
        <f>'Enteric fermentation'!R22*(1-H6%)*$C$10</f>
        <v>5.445331397952049E-06</v>
      </c>
      <c r="I23" s="124">
        <f>'Enteric fermentation'!S22*(1-I6%)*$C$10</f>
        <v>2.6581706151546767E-06</v>
      </c>
      <c r="J23" s="115" t="s">
        <v>158</v>
      </c>
      <c r="K23" s="116"/>
    </row>
    <row r="24" spans="2:11" ht="12.75" customHeight="1">
      <c r="B24" s="117"/>
      <c r="C24" s="114" t="s">
        <v>81</v>
      </c>
      <c r="D24" s="124">
        <f>'Enteric fermentation'!N23*(1-D7%)*$C$10</f>
        <v>6.534830978054333E-06</v>
      </c>
      <c r="E24" s="124">
        <f>'Enteric fermentation'!O23*(1-E7%)*$C$10</f>
        <v>5.203212150305514E-06</v>
      </c>
      <c r="F24" s="124">
        <f>'Enteric fermentation'!P23*(1-F7%)*$C$10</f>
        <v>4.243927781401298E-06</v>
      </c>
      <c r="G24" s="124">
        <f>'Enteric fermentation'!Q23*(1-G7%)*$C$10</f>
        <v>4.796231498805278E-06</v>
      </c>
      <c r="H24" s="124">
        <f>'Enteric fermentation'!R23*(1-H7%)*$C$10</f>
        <v>4.326416167732848E-06</v>
      </c>
      <c r="I24" s="124">
        <f>'Enteric fermentation'!S23*(1-I7%)*$C$10</f>
        <v>3.154042308020457E-06</v>
      </c>
      <c r="J24" s="115" t="s">
        <v>158</v>
      </c>
      <c r="K24" s="116"/>
    </row>
    <row r="25" spans="2:11" ht="12.75" customHeight="1">
      <c r="B25" s="117"/>
      <c r="C25" s="114" t="s">
        <v>83</v>
      </c>
      <c r="D25" s="124">
        <f>'Enteric fermentation'!N24*(1-D8%)*$C$10</f>
        <v>6.06886454074294E-06</v>
      </c>
      <c r="E25" s="124">
        <f>'Enteric fermentation'!O24*(1-E8%)*$C$10</f>
        <v>4.565556009443006E-06</v>
      </c>
      <c r="F25" s="124">
        <f>'Enteric fermentation'!P24*(1-F8%)*$C$10</f>
        <v>3.902519183000592E-06</v>
      </c>
      <c r="G25" s="124">
        <f>'Enteric fermentation'!Q24*(1-G8%)*$C$10</f>
        <v>5.3021638963060865E-06</v>
      </c>
      <c r="H25" s="124">
        <f>'Enteric fermentation'!R24*(1-H8%)*$C$10</f>
        <v>4.565556009443006E-06</v>
      </c>
      <c r="I25" s="124">
        <f>'Enteric fermentation'!S24*(1-I8%)*$C$10</f>
        <v>3.625551170049827E-06</v>
      </c>
      <c r="J25" s="115" t="s">
        <v>158</v>
      </c>
      <c r="K25" s="116"/>
    </row>
    <row r="26" spans="2:11" ht="12.75" customHeight="1">
      <c r="B26" s="117"/>
      <c r="C26" s="114"/>
      <c r="D26" s="114"/>
      <c r="E26" s="114"/>
      <c r="F26" s="114"/>
      <c r="G26" s="114"/>
      <c r="H26" s="114"/>
      <c r="I26" s="114"/>
      <c r="J26" s="115"/>
      <c r="K26" s="116"/>
    </row>
    <row r="27" spans="2:11" ht="12.75" customHeight="1">
      <c r="B27" s="117" t="s">
        <v>135</v>
      </c>
      <c r="C27" s="114"/>
      <c r="D27" s="117" t="s">
        <v>159</v>
      </c>
      <c r="E27" s="114"/>
      <c r="F27" s="114"/>
      <c r="G27" s="114"/>
      <c r="H27" s="114"/>
      <c r="I27" s="114"/>
      <c r="J27" s="115"/>
      <c r="K27" s="116" t="s">
        <v>160</v>
      </c>
    </row>
    <row r="28" spans="2:11" ht="12.75" customHeight="1">
      <c r="B28" s="114"/>
      <c r="C28" s="114" t="s">
        <v>78</v>
      </c>
      <c r="D28" s="125">
        <f aca="true" t="shared" si="0" ref="D28:I31">(D14*D22*91.25)*10^-6</f>
        <v>2.9961842370948216E-08</v>
      </c>
      <c r="E28" s="125">
        <f t="shared" si="0"/>
        <v>1.0168943151341279E-06</v>
      </c>
      <c r="F28" s="125">
        <f t="shared" si="0"/>
        <v>1.895540294196667E-07</v>
      </c>
      <c r="G28" s="125">
        <f t="shared" si="0"/>
        <v>2.485919844119154E-07</v>
      </c>
      <c r="H28" s="125">
        <f t="shared" si="0"/>
        <v>0</v>
      </c>
      <c r="I28" s="125">
        <f t="shared" si="0"/>
        <v>0</v>
      </c>
      <c r="J28" s="115" t="s">
        <v>138</v>
      </c>
      <c r="K28" s="116"/>
    </row>
    <row r="29" spans="2:11" ht="12.75" customHeight="1">
      <c r="B29" s="114"/>
      <c r="C29" s="114" t="s">
        <v>80</v>
      </c>
      <c r="D29" s="125">
        <f t="shared" si="0"/>
        <v>3.327625853273223E-08</v>
      </c>
      <c r="E29" s="125">
        <f t="shared" si="0"/>
        <v>1.1034130245788857E-06</v>
      </c>
      <c r="F29" s="125">
        <f t="shared" si="0"/>
        <v>2.219035033666846E-07</v>
      </c>
      <c r="G29" s="125">
        <f t="shared" si="0"/>
        <v>2.4844324503156223E-07</v>
      </c>
      <c r="H29" s="125">
        <f t="shared" si="0"/>
        <v>0</v>
      </c>
      <c r="I29" s="125">
        <f t="shared" si="0"/>
        <v>0</v>
      </c>
      <c r="J29" s="115" t="s">
        <v>138</v>
      </c>
      <c r="K29" s="116"/>
    </row>
    <row r="30" spans="2:11" ht="12.75" customHeight="1">
      <c r="B30" s="114"/>
      <c r="C30" s="114" t="s">
        <v>81</v>
      </c>
      <c r="D30" s="125">
        <f t="shared" si="0"/>
        <v>2.981516633737289E-08</v>
      </c>
      <c r="E30" s="125">
        <f t="shared" si="0"/>
        <v>9.495862174307561E-07</v>
      </c>
      <c r="F30" s="125">
        <f t="shared" si="0"/>
        <v>1.936292050264342E-07</v>
      </c>
      <c r="G30" s="125">
        <f t="shared" si="0"/>
        <v>2.1882806213299078E-07</v>
      </c>
      <c r="H30" s="125">
        <f t="shared" si="0"/>
        <v>0</v>
      </c>
      <c r="I30" s="125">
        <f t="shared" si="0"/>
        <v>0</v>
      </c>
      <c r="J30" s="115" t="s">
        <v>138</v>
      </c>
      <c r="K30" s="116"/>
    </row>
    <row r="31" spans="2:11" ht="15.75">
      <c r="B31" s="114"/>
      <c r="C31" s="114" t="s">
        <v>83</v>
      </c>
      <c r="D31" s="125">
        <f t="shared" si="0"/>
        <v>2.7689194467139666E-08</v>
      </c>
      <c r="E31" s="125">
        <f t="shared" si="0"/>
        <v>8.332139717233485E-07</v>
      </c>
      <c r="F31" s="125">
        <f t="shared" si="0"/>
        <v>1.7805243772440201E-07</v>
      </c>
      <c r="G31" s="125">
        <f t="shared" si="0"/>
        <v>2.419112277689652E-07</v>
      </c>
      <c r="H31" s="125">
        <f t="shared" si="0"/>
        <v>0</v>
      </c>
      <c r="I31" s="125">
        <f t="shared" si="0"/>
        <v>0</v>
      </c>
      <c r="J31" s="115" t="s">
        <v>138</v>
      </c>
      <c r="K31" s="116"/>
    </row>
    <row r="32" spans="2:11" ht="15.75">
      <c r="B32" s="114"/>
      <c r="C32" s="114"/>
      <c r="D32" s="114"/>
      <c r="E32" s="114"/>
      <c r="F32" s="114"/>
      <c r="G32" s="114"/>
      <c r="H32" s="114"/>
      <c r="I32" s="114"/>
      <c r="J32" s="115"/>
      <c r="K32" s="116"/>
    </row>
    <row r="33" spans="2:11" ht="15.75">
      <c r="B33" s="117" t="s">
        <v>139</v>
      </c>
      <c r="C33" s="126">
        <f>SUM(D28:I31)</f>
        <v>5.764763685457932E-06</v>
      </c>
      <c r="D33" s="114"/>
      <c r="E33" s="114"/>
      <c r="F33" s="114"/>
      <c r="G33" s="114"/>
      <c r="H33" s="114"/>
      <c r="I33" s="114"/>
      <c r="J33" s="115" t="s">
        <v>140</v>
      </c>
      <c r="K33" s="116"/>
    </row>
    <row r="34" spans="2:11" ht="15.75">
      <c r="B34" s="117" t="s">
        <v>139</v>
      </c>
      <c r="C34" s="126">
        <f>C33*21</f>
        <v>0.00012106003739461657</v>
      </c>
      <c r="D34" s="114"/>
      <c r="E34" s="114"/>
      <c r="F34" s="114"/>
      <c r="G34" s="114"/>
      <c r="H34" s="114"/>
      <c r="I34" s="114"/>
      <c r="J34" s="115" t="s">
        <v>141</v>
      </c>
      <c r="K34" s="116"/>
    </row>
    <row r="35" spans="2:11" ht="15.75">
      <c r="B35" s="127" t="s">
        <v>139</v>
      </c>
      <c r="C35" s="128">
        <f>C34*10^3</f>
        <v>0.12106003739461657</v>
      </c>
      <c r="D35" s="122"/>
      <c r="E35" s="122"/>
      <c r="F35" s="122"/>
      <c r="G35" s="122"/>
      <c r="H35" s="122"/>
      <c r="I35" s="122"/>
      <c r="J35" s="123" t="s">
        <v>142</v>
      </c>
      <c r="K35" s="129"/>
    </row>
    <row r="45" ht="15.75">
      <c r="B45" s="33"/>
    </row>
    <row r="51" ht="15.75">
      <c r="B51" s="33"/>
    </row>
    <row r="52" ht="15.75">
      <c r="B52" s="33"/>
    </row>
    <row r="53" ht="15.75">
      <c r="B53" s="33"/>
    </row>
    <row r="54" ht="15.75">
      <c r="B54" s="33"/>
    </row>
  </sheetData>
  <sheetProtection sheet="1"/>
  <printOptions/>
  <pageMargins left="0.7000000000000001" right="0.7000000000000001" top="0.75" bottom="0.75" header="0.30000000000000004" footer="0.30000000000000004"/>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B1:W142"/>
  <sheetViews>
    <sheetView showGridLines="0" zoomScale="80" zoomScaleNormal="80" zoomScalePageLayoutView="0" workbookViewId="0" topLeftCell="A1">
      <selection activeCell="A1" sqref="A1"/>
    </sheetView>
  </sheetViews>
  <sheetFormatPr defaultColWidth="8.8515625" defaultRowHeight="12.75"/>
  <cols>
    <col min="1" max="1" width="2.8515625" style="78" customWidth="1"/>
    <col min="2" max="2" width="34.140625" style="78" customWidth="1"/>
    <col min="3" max="3" width="9.7109375" style="78" customWidth="1"/>
    <col min="4" max="4" width="11.28125" style="78" customWidth="1"/>
    <col min="5" max="5" width="12.57421875" style="78" bestFit="1" customWidth="1"/>
    <col min="6" max="6" width="16.8515625" style="78" customWidth="1"/>
    <col min="7" max="7" width="15.00390625" style="78" customWidth="1"/>
    <col min="8" max="8" width="13.28125" style="78" customWidth="1"/>
    <col min="9" max="9" width="20.28125" style="78" customWidth="1"/>
    <col min="10" max="10" width="12.28125" style="78" customWidth="1"/>
    <col min="11" max="12" width="8.8515625" style="78" customWidth="1"/>
    <col min="13" max="13" width="32.8515625" style="78" customWidth="1"/>
    <col min="14" max="14" width="11.00390625" style="78" customWidth="1"/>
    <col min="15" max="15" width="12.7109375" style="78" customWidth="1"/>
    <col min="16" max="16" width="13.8515625" style="78" customWidth="1"/>
    <col min="17" max="17" width="16.28125" style="78" customWidth="1"/>
    <col min="18" max="18" width="14.140625" style="78" customWidth="1"/>
    <col min="19" max="19" width="12.00390625" style="78" customWidth="1"/>
    <col min="20" max="20" width="19.57421875" style="78" customWidth="1"/>
    <col min="21" max="21" width="16.00390625" style="78" customWidth="1"/>
    <col min="22" max="22" width="19.28125" style="84" customWidth="1"/>
    <col min="23" max="23" width="8.8515625" style="78" customWidth="1"/>
    <col min="24" max="16384" width="8.8515625" style="78" customWidth="1"/>
  </cols>
  <sheetData>
    <row r="1" ht="22.5" customHeight="1">
      <c r="B1" s="82" t="s">
        <v>161</v>
      </c>
    </row>
    <row r="2" ht="15.75"/>
    <row r="3" spans="2:22" ht="15.75">
      <c r="B3" s="130" t="s">
        <v>104</v>
      </c>
      <c r="C3" s="130" t="s">
        <v>105</v>
      </c>
      <c r="D3" s="130" t="str">
        <f>'Data input'!D3</f>
        <v>Rams</v>
      </c>
      <c r="E3" s="130" t="str">
        <f>'Data input'!E3</f>
        <v>Wethers</v>
      </c>
      <c r="F3" s="130" t="str">
        <f>'Data input'!F3</f>
        <v>Maiden breeding ewes</v>
      </c>
      <c r="G3" s="130" t="str">
        <f>'Data input'!G3</f>
        <v>Breeding ewes</v>
      </c>
      <c r="H3" s="130" t="str">
        <f>'Data input'!H3</f>
        <v>Other ewes</v>
      </c>
      <c r="I3" s="130" t="str">
        <f>'Data input'!I3</f>
        <v>Lambs and hoggets</v>
      </c>
      <c r="J3" s="130" t="str">
        <f>'Data input'!J3</f>
        <v>Units</v>
      </c>
      <c r="M3" s="130" t="s">
        <v>162</v>
      </c>
      <c r="N3" s="130" t="s">
        <v>105</v>
      </c>
      <c r="O3" s="130" t="str">
        <f>'Data input'!D3</f>
        <v>Rams</v>
      </c>
      <c r="P3" s="130" t="str">
        <f>'Data input'!E3</f>
        <v>Wethers</v>
      </c>
      <c r="Q3" s="130" t="str">
        <f>'Data input'!F3</f>
        <v>Maiden breeding ewes</v>
      </c>
      <c r="R3" s="130" t="str">
        <f>'Data input'!G3</f>
        <v>Breeding ewes</v>
      </c>
      <c r="S3" s="130" t="str">
        <f>'Data input'!H3</f>
        <v>Other ewes</v>
      </c>
      <c r="T3" s="130" t="str">
        <f>'Data input'!I3</f>
        <v>Lambs and hoggets</v>
      </c>
      <c r="U3" s="130" t="str">
        <f>'Data input'!J3</f>
        <v>Units</v>
      </c>
      <c r="V3" s="131" t="s">
        <v>418</v>
      </c>
    </row>
    <row r="4" spans="2:22" ht="15" customHeight="1">
      <c r="B4" s="132"/>
      <c r="C4" s="132"/>
      <c r="D4" s="132"/>
      <c r="E4" s="132"/>
      <c r="F4" s="132"/>
      <c r="G4" s="132"/>
      <c r="H4" s="132"/>
      <c r="I4" s="132"/>
      <c r="J4" s="132"/>
      <c r="M4" s="132"/>
      <c r="N4" s="133"/>
      <c r="O4" s="133"/>
      <c r="P4" s="133"/>
      <c r="Q4" s="133"/>
      <c r="R4" s="133"/>
      <c r="S4" s="133"/>
      <c r="T4" s="132"/>
      <c r="U4" s="132"/>
      <c r="V4" s="134"/>
    </row>
    <row r="5" spans="2:22" ht="15.75">
      <c r="B5" s="135" t="s">
        <v>422</v>
      </c>
      <c r="C5" s="132" t="s">
        <v>78</v>
      </c>
      <c r="D5" s="132">
        <f>'Data input'!D40</f>
        <v>16</v>
      </c>
      <c r="E5" s="132">
        <f>'Data input'!E40</f>
        <v>16</v>
      </c>
      <c r="F5" s="132">
        <f>'Data input'!F40</f>
        <v>16</v>
      </c>
      <c r="G5" s="132">
        <f>'Data input'!G40</f>
        <v>16</v>
      </c>
      <c r="H5" s="132">
        <f>'Data input'!H40</f>
        <v>16</v>
      </c>
      <c r="I5" s="132">
        <f>'Data input'!I40</f>
        <v>16</v>
      </c>
      <c r="J5" s="132" t="str">
        <f>'Data input'!J40</f>
        <v>%</v>
      </c>
      <c r="M5" s="135" t="s">
        <v>163</v>
      </c>
      <c r="N5" s="133"/>
      <c r="O5" s="136" t="s">
        <v>164</v>
      </c>
      <c r="P5" s="133"/>
      <c r="Q5" s="133"/>
      <c r="R5" s="133"/>
      <c r="S5" s="133"/>
      <c r="T5" s="132"/>
      <c r="U5" s="132"/>
      <c r="V5" s="134" t="s">
        <v>165</v>
      </c>
    </row>
    <row r="6" spans="2:22" ht="15.75">
      <c r="B6" s="132"/>
      <c r="C6" s="132" t="s">
        <v>80</v>
      </c>
      <c r="D6" s="132">
        <f>'Data input'!D41</f>
        <v>7</v>
      </c>
      <c r="E6" s="132">
        <f>'Data input'!E41</f>
        <v>7</v>
      </c>
      <c r="F6" s="132">
        <f>'Data input'!F41</f>
        <v>7</v>
      </c>
      <c r="G6" s="132">
        <f>'Data input'!G41</f>
        <v>7</v>
      </c>
      <c r="H6" s="132">
        <f>'Data input'!H41</f>
        <v>7</v>
      </c>
      <c r="I6" s="132">
        <f>'Data input'!I41</f>
        <v>10</v>
      </c>
      <c r="J6" s="132" t="str">
        <f>'Data input'!J41</f>
        <v>%</v>
      </c>
      <c r="M6" s="133"/>
      <c r="N6" s="132"/>
      <c r="O6" s="137" t="s">
        <v>166</v>
      </c>
      <c r="P6" s="133"/>
      <c r="Q6" s="133"/>
      <c r="R6" s="133"/>
      <c r="S6" s="133"/>
      <c r="T6" s="132"/>
      <c r="U6" s="132"/>
      <c r="V6" s="134"/>
    </row>
    <row r="7" spans="2:22" ht="15.75">
      <c r="B7" s="132"/>
      <c r="C7" s="132" t="s">
        <v>81</v>
      </c>
      <c r="D7" s="132">
        <f>'Data input'!D42</f>
        <v>13</v>
      </c>
      <c r="E7" s="132">
        <f>'Data input'!E42</f>
        <v>13</v>
      </c>
      <c r="F7" s="132">
        <f>'Data input'!F42</f>
        <v>13</v>
      </c>
      <c r="G7" s="132">
        <f>'Data input'!G42</f>
        <v>13</v>
      </c>
      <c r="H7" s="132">
        <f>'Data input'!H42</f>
        <v>13</v>
      </c>
      <c r="I7" s="132">
        <f>'Data input'!I42</f>
        <v>13</v>
      </c>
      <c r="J7" s="132" t="str">
        <f>'Data input'!J42</f>
        <v>%</v>
      </c>
      <c r="M7" s="133"/>
      <c r="N7" s="138" t="s">
        <v>78</v>
      </c>
      <c r="O7" s="139">
        <f>'Enteric fermentation'!N21*D5%+(0.045*D10)</f>
        <v>0.250170634277976</v>
      </c>
      <c r="P7" s="139">
        <f>'Enteric fermentation'!O21*E5%+(0.045*E10)</f>
        <v>0.21226756741221192</v>
      </c>
      <c r="Q7" s="139">
        <f>'Enteric fermentation'!P21*F5%+(0.045*F10)</f>
        <v>0.1582708138663884</v>
      </c>
      <c r="R7" s="139">
        <f>'Enteric fermentation'!Q21*G5%+(0.045*G10)</f>
        <v>0.20756538815867687</v>
      </c>
      <c r="S7" s="139">
        <f>'Enteric fermentation'!R21*H5%+(0.045*H10)</f>
        <v>0.17590287132091256</v>
      </c>
      <c r="T7" s="139">
        <f>'Enteric fermentation'!S21*I5%+(0.045*I10)</f>
        <v>0.12853801197795633</v>
      </c>
      <c r="U7" s="132" t="s">
        <v>133</v>
      </c>
      <c r="V7" s="134"/>
    </row>
    <row r="8" spans="2:22" ht="15.75">
      <c r="B8" s="132"/>
      <c r="C8" s="132" t="s">
        <v>83</v>
      </c>
      <c r="D8" s="132">
        <f>'Data input'!D43</f>
        <v>10</v>
      </c>
      <c r="E8" s="132">
        <f>'Data input'!E43</f>
        <v>10</v>
      </c>
      <c r="F8" s="132">
        <f>'Data input'!F43</f>
        <v>10</v>
      </c>
      <c r="G8" s="132">
        <f>'Data input'!G43</f>
        <v>10</v>
      </c>
      <c r="H8" s="132">
        <f>'Data input'!H43</f>
        <v>10</v>
      </c>
      <c r="I8" s="132">
        <f>'Data input'!I43</f>
        <v>10</v>
      </c>
      <c r="J8" s="132" t="str">
        <f>'Data input'!J43</f>
        <v>%</v>
      </c>
      <c r="M8" s="137"/>
      <c r="N8" s="138" t="s">
        <v>80</v>
      </c>
      <c r="O8" s="139">
        <f>'Enteric fermentation'!N22*D6%+(0.045*D11)</f>
        <v>0.08103807253024593</v>
      </c>
      <c r="P8" s="139">
        <f>'Enteric fermentation'!O22*E6%+(0.045*E11)</f>
        <v>0.06717887516462015</v>
      </c>
      <c r="Q8" s="139">
        <f>'Enteric fermentation'!P22*F6%+(0.045*F11)</f>
        <v>0.05404042699949703</v>
      </c>
      <c r="R8" s="139">
        <f>'Enteric fermentation'!Q22*G6%+(0.045*G11)</f>
        <v>0.06050368219946723</v>
      </c>
      <c r="S8" s="139">
        <f>'Enteric fermentation'!R22*H6%+(0.045*H11)</f>
        <v>0.06050368219946723</v>
      </c>
      <c r="T8" s="139">
        <f>'Enteric fermentation'!S22*I6%+(0.045*I11)</f>
        <v>0.04746733241347637</v>
      </c>
      <c r="U8" s="132" t="s">
        <v>133</v>
      </c>
      <c r="V8" s="134"/>
    </row>
    <row r="9" spans="2:22" ht="15.75" customHeight="1">
      <c r="B9" s="132"/>
      <c r="C9" s="132"/>
      <c r="D9" s="132"/>
      <c r="E9" s="132"/>
      <c r="F9" s="132"/>
      <c r="G9" s="132"/>
      <c r="H9" s="132"/>
      <c r="I9" s="132"/>
      <c r="J9" s="132"/>
      <c r="M9" s="138"/>
      <c r="N9" s="138" t="s">
        <v>81</v>
      </c>
      <c r="O9" s="139">
        <f>'Enteric fermentation'!N23*D7%+(0.045*D12)</f>
        <v>0.17337306676470682</v>
      </c>
      <c r="P9" s="139">
        <f>'Enteric fermentation'!O23*E7%+(0.045*E12)</f>
        <v>0.1380444039876973</v>
      </c>
      <c r="Q9" s="139">
        <f>'Enteric fermentation'!P23*F7%+(0.045*F12)</f>
        <v>0.11259400236370792</v>
      </c>
      <c r="R9" s="139">
        <f>'Enteric fermentation'!Q23*G7%+(0.045*G12)</f>
        <v>0.1272469581315686</v>
      </c>
      <c r="S9" s="139">
        <f>'Enteric fermentation'!R23*H7%+(0.045*H12)</f>
        <v>0.11478246975617762</v>
      </c>
      <c r="T9" s="139">
        <f>'Enteric fermentation'!S23*I7%+(0.045*I12)</f>
        <v>0.07321883929333205</v>
      </c>
      <c r="U9" s="138" t="s">
        <v>133</v>
      </c>
      <c r="V9" s="134"/>
    </row>
    <row r="10" spans="2:22" ht="15.75">
      <c r="B10" s="135" t="s">
        <v>167</v>
      </c>
      <c r="C10" s="132" t="s">
        <v>78</v>
      </c>
      <c r="D10" s="132"/>
      <c r="E10" s="132"/>
      <c r="F10" s="132"/>
      <c r="G10" s="132"/>
      <c r="H10" s="132"/>
      <c r="I10" s="132">
        <f>'Data input'!G28*1.6</f>
        <v>1.2000000000000002</v>
      </c>
      <c r="J10" s="132" t="s">
        <v>133</v>
      </c>
      <c r="M10" s="140"/>
      <c r="N10" s="138" t="s">
        <v>83</v>
      </c>
      <c r="O10" s="139">
        <f>'Enteric fermentation'!N24*D8%+(0.045*D13)</f>
        <v>0.10837258108469537</v>
      </c>
      <c r="P10" s="139">
        <f>'Enteric fermentation'!O24*E8%+(0.045*E13)</f>
        <v>0.08152778588291082</v>
      </c>
      <c r="Q10" s="139">
        <f>'Enteric fermentation'!P24*F8%+(0.045*F13)</f>
        <v>0.069687842553582</v>
      </c>
      <c r="R10" s="139">
        <f>'Enteric fermentation'!Q24*G8%+(0.045*G13)</f>
        <v>0.09468149814832298</v>
      </c>
      <c r="S10" s="139">
        <f>'Enteric fermentation'!R24*H8%+(0.045*H13)</f>
        <v>0.08152778588291082</v>
      </c>
      <c r="T10" s="139">
        <f>'Enteric fermentation'!S24*I8%+(0.045*I13)</f>
        <v>0.0827419851794612</v>
      </c>
      <c r="U10" s="138" t="s">
        <v>133</v>
      </c>
      <c r="V10" s="134"/>
    </row>
    <row r="11" spans="2:22" ht="15.75">
      <c r="B11" s="132"/>
      <c r="C11" s="132" t="s">
        <v>80</v>
      </c>
      <c r="D11" s="132"/>
      <c r="E11" s="132"/>
      <c r="F11" s="132"/>
      <c r="G11" s="132"/>
      <c r="H11" s="132"/>
      <c r="I11" s="132">
        <f>'Data input'!G29*1.6</f>
        <v>0</v>
      </c>
      <c r="J11" s="132" t="s">
        <v>133</v>
      </c>
      <c r="M11" s="137"/>
      <c r="N11" s="132"/>
      <c r="O11" s="137"/>
      <c r="P11" s="137"/>
      <c r="Q11" s="137"/>
      <c r="R11" s="137"/>
      <c r="S11" s="137"/>
      <c r="T11" s="138"/>
      <c r="U11" s="138"/>
      <c r="V11" s="134"/>
    </row>
    <row r="12" spans="2:22" ht="15.75">
      <c r="B12" s="132"/>
      <c r="C12" s="132" t="s">
        <v>81</v>
      </c>
      <c r="D12" s="132"/>
      <c r="E12" s="132"/>
      <c r="F12" s="132"/>
      <c r="G12" s="132"/>
      <c r="H12" s="132"/>
      <c r="I12" s="132">
        <f>'Data input'!G30*1.6</f>
        <v>0</v>
      </c>
      <c r="J12" s="132" t="s">
        <v>133</v>
      </c>
      <c r="M12" s="136" t="s">
        <v>168</v>
      </c>
      <c r="N12" s="137"/>
      <c r="O12" s="135" t="s">
        <v>169</v>
      </c>
      <c r="P12" s="137"/>
      <c r="Q12" s="137"/>
      <c r="R12" s="137"/>
      <c r="S12" s="137"/>
      <c r="T12" s="138"/>
      <c r="U12" s="138"/>
      <c r="V12" s="134" t="s">
        <v>170</v>
      </c>
    </row>
    <row r="13" spans="2:23" ht="15.75">
      <c r="B13" s="132"/>
      <c r="C13" s="132" t="s">
        <v>83</v>
      </c>
      <c r="D13" s="132"/>
      <c r="E13" s="132"/>
      <c r="F13" s="132"/>
      <c r="G13" s="141"/>
      <c r="H13" s="132"/>
      <c r="I13" s="132">
        <f>'Data input'!G31*1.6</f>
        <v>0.4</v>
      </c>
      <c r="J13" s="132" t="s">
        <v>133</v>
      </c>
      <c r="M13" s="137"/>
      <c r="N13" s="138" t="s">
        <v>78</v>
      </c>
      <c r="O13" s="142">
        <f>((0.3*(O7*((1-((D15+10)/100))))+(0.105*(D20*'Enteric fermentation'!N21*0.008))+(0.08*(0.045*D10))+(0.0152*'Enteric fermentation'!N21))/6.25)</f>
        <v>0.00834580243459236</v>
      </c>
      <c r="P13" s="142">
        <f>((0.3*(P7*((1-((E15+10)/100))))+(0.105*(E20*'Enteric fermentation'!O21*0.008))+(0.08*(0.045*E10))+(0.0152*'Enteric fermentation'!O21))/6.25)</f>
        <v>0.00708133944660105</v>
      </c>
      <c r="Q13" s="142">
        <f>((0.3*(Q7*((1-((F15+10)/100))))+(0.105*(F20*'Enteric fermentation'!P21*0.008))+(0.08*(0.045*F10))+(0.0152*'Enteric fermentation'!P21))/6.25)</f>
        <v>0.005279983989740817</v>
      </c>
      <c r="R13" s="142">
        <f>((0.3*(R7*((1-((G15+10)/100))))+(0.105*(G20*'Enteric fermentation'!Q21*0.008))+(0.08*(0.045*G10))+(0.0152*'Enteric fermentation'!Q21))/6.25)</f>
        <v>0.006924472677744249</v>
      </c>
      <c r="S13" s="142">
        <f>((0.3*(S7*((1-((H15+10)/100))))+(0.105*(H20*'Enteric fermentation'!R21*0.008))+(0.08*(0.045*H10))+(0.0152*'Enteric fermentation'!R21))/6.25)</f>
        <v>0.005868197184529023</v>
      </c>
      <c r="T13" s="142">
        <f>((0.3*(T7*((1-((I15+10)/100))))+(0.105*(I20*'Enteric fermentation'!S21*0.008))+(0.08*(0.045*I10))+(0.0152*'Enteric fermentation'!S21))/6.25)</f>
        <v>0.003696220876309893</v>
      </c>
      <c r="U13" s="138" t="s">
        <v>133</v>
      </c>
      <c r="V13" s="143"/>
      <c r="W13" s="99"/>
    </row>
    <row r="14" spans="2:23" ht="15.75">
      <c r="B14" s="132"/>
      <c r="C14" s="132"/>
      <c r="D14" s="132"/>
      <c r="E14" s="132"/>
      <c r="F14" s="132"/>
      <c r="G14" s="132"/>
      <c r="H14" s="132"/>
      <c r="I14" s="132"/>
      <c r="J14" s="132"/>
      <c r="M14" s="137"/>
      <c r="N14" s="138" t="s">
        <v>80</v>
      </c>
      <c r="O14" s="142">
        <f>((0.3*(O8*((1-((D16+10)/100))))+(0.105*(D21*'Enteric fermentation'!N22*0.008))+(0.08*(0.045*D11))+(0.0152*'Enteric fermentation'!N22))/6.25)</f>
        <v>0.0053882260732830535</v>
      </c>
      <c r="P14" s="142">
        <f>((0.3*(P8*((1-((E16+10)/100))))+(0.105*(E21*'Enteric fermentation'!O22*0.008))+(0.08*(0.045*E11))+(0.0152*'Enteric fermentation'!O22))/6.25)</f>
        <v>0.004466727248488459</v>
      </c>
      <c r="Q14" s="142">
        <f>((0.3*(Q8*((1-((F16+10)/100))))+(0.105*(F21*'Enteric fermentation'!P22*0.008))+(0.08*(0.045*F11))+(0.0152*'Enteric fermentation'!P22))/6.25)</f>
        <v>0.003593151079220957</v>
      </c>
      <c r="R14" s="142">
        <f>((0.3*(R8*((1-((G16+10)/100))))+(0.105*(G21*'Enteric fermentation'!Q22*0.008))+(0.08*(0.045*G11))+(0.0152*'Enteric fermentation'!Q22))/6.25)</f>
        <v>0.0040228932867958445</v>
      </c>
      <c r="S14" s="142">
        <f>((0.3*(S8*((1-((H16+10)/100))))+(0.105*(H21*'Enteric fermentation'!R22*0.008))+(0.08*(0.045*H11))+(0.0152*'Enteric fermentation'!R22))/6.25)</f>
        <v>0.0040228932867958445</v>
      </c>
      <c r="T14" s="142">
        <f>((0.3*(T8*((1-((I16+10)/100))))+(0.105*(I21*'Enteric fermentation'!S22*0.008))+(0.08*(0.045*I11))+(0.0152*'Enteric fermentation'!S22))/6.25)</f>
        <v>0.002385752176785802</v>
      </c>
      <c r="U14" s="138" t="s">
        <v>133</v>
      </c>
      <c r="V14" s="134"/>
      <c r="W14" s="99"/>
    </row>
    <row r="15" spans="2:23" ht="15.75">
      <c r="B15" s="135" t="s">
        <v>421</v>
      </c>
      <c r="C15" s="132" t="s">
        <v>78</v>
      </c>
      <c r="D15" s="132">
        <f>'Data input'!D46</f>
        <v>70</v>
      </c>
      <c r="E15" s="132">
        <f>'Data input'!E46</f>
        <v>70</v>
      </c>
      <c r="F15" s="132">
        <f>'Data input'!F46</f>
        <v>70</v>
      </c>
      <c r="G15" s="132">
        <f>'Data input'!G46</f>
        <v>70</v>
      </c>
      <c r="H15" s="132">
        <f>'Data input'!H46</f>
        <v>70</v>
      </c>
      <c r="I15" s="132">
        <f>'Data input'!I46</f>
        <v>70</v>
      </c>
      <c r="J15" s="132" t="str">
        <f>'Data input'!J46</f>
        <v>%</v>
      </c>
      <c r="M15" s="138"/>
      <c r="N15" s="138" t="s">
        <v>81</v>
      </c>
      <c r="O15" s="142">
        <f>((0.3*(O9*((1-((D17+10)/100))))+(0.105*(D22*'Enteric fermentation'!N23*0.008))+(0.08*(0.045*D12))+(0.0152*'Enteric fermentation'!N23))/6.25)</f>
        <v>0.007006781272389728</v>
      </c>
      <c r="P15" s="142">
        <f>((0.3*(P9*((1-((E17+10)/100))))+(0.105*(E22*'Enteric fermentation'!O23*0.008))+(0.08*(0.045*E12))+(0.0152*'Enteric fermentation'!O23))/6.25)</f>
        <v>0.005578991954568688</v>
      </c>
      <c r="Q15" s="142">
        <f>((0.3*(Q9*((1-((F17+10)/100))))+(0.105*(F22*'Enteric fermentation'!P23*0.008))+(0.08*(0.045*F12))+(0.0152*'Enteric fermentation'!P23))/6.25)</f>
        <v>0.004550427363761858</v>
      </c>
      <c r="R15" s="142">
        <f>((0.3*(R9*((1-((G17+10)/100))))+(0.105*(G22*'Enteric fermentation'!Q23*0.008))+(0.08*(0.045*G12))+(0.0152*'Enteric fermentation'!Q23))/6.25)</f>
        <v>0.005142618861410913</v>
      </c>
      <c r="S15" s="142">
        <f>((0.3*(S9*((1-((H17+10)/100))))+(0.105*(H22*'Enteric fermentation'!R23*0.008))+(0.08*(0.045*H12))+(0.0152*'Enteric fermentation'!R23))/6.25)</f>
        <v>0.0046388731219579845</v>
      </c>
      <c r="T15" s="142">
        <f>((0.3*(T9*((1-((I17+10)/100))))+(0.105*(I22*'Enteric fermentation'!S23*0.008))+(0.08*(0.045*I12))+(0.0152*'Enteric fermentation'!S23))/6.25)</f>
        <v>0.003074117073625329</v>
      </c>
      <c r="U15" s="138" t="s">
        <v>133</v>
      </c>
      <c r="V15" s="134"/>
      <c r="W15" s="99"/>
    </row>
    <row r="16" spans="2:23" ht="15.75">
      <c r="B16" s="132"/>
      <c r="C16" s="132" t="s">
        <v>80</v>
      </c>
      <c r="D16" s="132">
        <f>'Data input'!D47</f>
        <v>55</v>
      </c>
      <c r="E16" s="132">
        <f>'Data input'!E47</f>
        <v>55</v>
      </c>
      <c r="F16" s="132">
        <f>'Data input'!F47</f>
        <v>55</v>
      </c>
      <c r="G16" s="132">
        <f>'Data input'!G47</f>
        <v>55</v>
      </c>
      <c r="H16" s="132">
        <f>'Data input'!H47</f>
        <v>55</v>
      </c>
      <c r="I16" s="132">
        <f>'Data input'!I47</f>
        <v>60</v>
      </c>
      <c r="J16" s="132" t="str">
        <f>'Data input'!J47</f>
        <v>%</v>
      </c>
      <c r="M16" s="138"/>
      <c r="N16" s="138" t="s">
        <v>83</v>
      </c>
      <c r="O16" s="142">
        <f>((0.3*(O10*((1-((D18+10)/100))))+(0.105*(D23*'Enteric fermentation'!N24*0.008))+(0.08*(0.045*D13))+(0.0152*'Enteric fermentation'!N24))/6.25)</f>
        <v>0.005446906495072036</v>
      </c>
      <c r="P16" s="142">
        <f>((0.3*(P10*((1-((E18+10)/100))))+(0.105*(E23*'Enteric fermentation'!O24*0.008))+(0.08*(0.045*E13))+(0.0152*'Enteric fermentation'!O24))/6.25)</f>
        <v>0.004097662176260397</v>
      </c>
      <c r="Q16" s="142">
        <f>((0.3*(Q10*((1-((F18+10)/100))))+(0.105*(F23*'Enteric fermentation'!P24*0.008))+(0.08*(0.045*F13))+(0.0152*'Enteric fermentation'!P24))/6.25)</f>
        <v>0.0035025756370609213</v>
      </c>
      <c r="R16" s="142">
        <f>((0.3*(R10*((1-((G18+10)/100))))+(0.105*(G23*'Enteric fermentation'!Q24*0.008))+(0.08*(0.045*G13))+(0.0152*'Enteric fermentation'!Q24))/6.25)</f>
        <v>0.004758779961364995</v>
      </c>
      <c r="S16" s="142">
        <f>((0.3*(S10*((1-((H18+10)/100))))+(0.105*(H23*'Enteric fermentation'!R24*0.008))+(0.08*(0.045*H13))+(0.0152*'Enteric fermentation'!R24))/6.25)</f>
        <v>0.004097662176260397</v>
      </c>
      <c r="T16" s="142">
        <f>((0.3*(T10*((1-((I18+10)/100))))+(0.105*(I23*'Enteric fermentation'!S24*0.008))+(0.08*(0.045*I13))+(0.0152*'Enteric fermentation'!S24))/6.25)</f>
        <v>0.003743592255681966</v>
      </c>
      <c r="U16" s="138" t="s">
        <v>133</v>
      </c>
      <c r="V16" s="134"/>
      <c r="W16" s="99"/>
    </row>
    <row r="17" spans="2:23" ht="15.75">
      <c r="B17" s="132"/>
      <c r="C17" s="132" t="s">
        <v>81</v>
      </c>
      <c r="D17" s="132">
        <f>'Data input'!D48</f>
        <v>65</v>
      </c>
      <c r="E17" s="132">
        <f>'Data input'!E48</f>
        <v>65</v>
      </c>
      <c r="F17" s="132">
        <f>'Data input'!F48</f>
        <v>65</v>
      </c>
      <c r="G17" s="132">
        <f>'Data input'!G48</f>
        <v>65</v>
      </c>
      <c r="H17" s="132">
        <f>'Data input'!H48</f>
        <v>65</v>
      </c>
      <c r="I17" s="132">
        <f>'Data input'!I48</f>
        <v>60</v>
      </c>
      <c r="J17" s="132" t="str">
        <f>'Data input'!J48</f>
        <v>%</v>
      </c>
      <c r="M17" s="138"/>
      <c r="N17" s="138"/>
      <c r="O17" s="138"/>
      <c r="P17" s="138"/>
      <c r="Q17" s="138"/>
      <c r="R17" s="138"/>
      <c r="S17" s="138"/>
      <c r="T17" s="138"/>
      <c r="U17" s="138"/>
      <c r="V17" s="134"/>
      <c r="W17" s="99"/>
    </row>
    <row r="18" spans="2:23" ht="15.75">
      <c r="B18" s="132"/>
      <c r="C18" s="132" t="s">
        <v>83</v>
      </c>
      <c r="D18" s="132">
        <f>'Data input'!D49</f>
        <v>60</v>
      </c>
      <c r="E18" s="132">
        <f>'Data input'!E49</f>
        <v>60</v>
      </c>
      <c r="F18" s="132">
        <f>'Data input'!F49</f>
        <v>60</v>
      </c>
      <c r="G18" s="132">
        <f>'Data input'!G49</f>
        <v>60</v>
      </c>
      <c r="H18" s="132">
        <f>'Data input'!H49</f>
        <v>60</v>
      </c>
      <c r="I18" s="132">
        <f>'Data input'!I49</f>
        <v>60</v>
      </c>
      <c r="J18" s="132" t="str">
        <f>'Data input'!J49</f>
        <v>%</v>
      </c>
      <c r="M18" s="144" t="s">
        <v>171</v>
      </c>
      <c r="N18" s="138"/>
      <c r="O18" s="135" t="s">
        <v>172</v>
      </c>
      <c r="P18" s="138"/>
      <c r="Q18" s="138"/>
      <c r="R18" s="138"/>
      <c r="S18" s="138"/>
      <c r="T18" s="138"/>
      <c r="U18" s="138"/>
      <c r="V18" s="134" t="s">
        <v>173</v>
      </c>
      <c r="W18" s="99"/>
    </row>
    <row r="19" spans="2:23" ht="15.75">
      <c r="B19" s="132"/>
      <c r="C19" s="132"/>
      <c r="D19" s="132"/>
      <c r="E19" s="132"/>
      <c r="F19" s="132"/>
      <c r="G19" s="132"/>
      <c r="H19" s="132"/>
      <c r="I19" s="132"/>
      <c r="J19" s="132"/>
      <c r="M19" s="138"/>
      <c r="N19" s="132"/>
      <c r="O19" s="138"/>
      <c r="P19" s="138"/>
      <c r="Q19" s="138"/>
      <c r="R19" s="138"/>
      <c r="S19" s="138"/>
      <c r="T19" s="138"/>
      <c r="U19" s="371"/>
      <c r="V19" s="372"/>
      <c r="W19" s="99"/>
    </row>
    <row r="20" spans="2:23" ht="18" customHeight="1">
      <c r="B20" s="135" t="s">
        <v>176</v>
      </c>
      <c r="C20" s="132" t="s">
        <v>78</v>
      </c>
      <c r="D20" s="145">
        <f aca="true" t="shared" si="0" ref="D20:I20">0.1604*D15-1.037</f>
        <v>10.190999999999999</v>
      </c>
      <c r="E20" s="145">
        <f t="shared" si="0"/>
        <v>10.190999999999999</v>
      </c>
      <c r="F20" s="145">
        <f t="shared" si="0"/>
        <v>10.190999999999999</v>
      </c>
      <c r="G20" s="145">
        <f t="shared" si="0"/>
        <v>10.190999999999999</v>
      </c>
      <c r="H20" s="145">
        <f t="shared" si="0"/>
        <v>10.190999999999999</v>
      </c>
      <c r="I20" s="145">
        <f t="shared" si="0"/>
        <v>10.190999999999999</v>
      </c>
      <c r="J20" s="356" t="s">
        <v>96</v>
      </c>
      <c r="M20" s="138"/>
      <c r="N20" s="367" t="s">
        <v>177</v>
      </c>
      <c r="O20" s="368"/>
      <c r="P20" s="369"/>
      <c r="Q20" s="369"/>
      <c r="R20" s="369"/>
      <c r="S20" s="369"/>
      <c r="T20" s="370"/>
      <c r="U20" s="138" t="s">
        <v>174</v>
      </c>
      <c r="V20" s="134" t="s">
        <v>175</v>
      </c>
      <c r="W20" s="99"/>
    </row>
    <row r="21" spans="2:23" ht="20.25" customHeight="1">
      <c r="B21" s="132"/>
      <c r="C21" s="132" t="s">
        <v>80</v>
      </c>
      <c r="D21" s="145">
        <f aca="true" t="shared" si="1" ref="D21:I21">0.1604*D16-1.037</f>
        <v>7.784999999999999</v>
      </c>
      <c r="E21" s="145">
        <f t="shared" si="1"/>
        <v>7.784999999999999</v>
      </c>
      <c r="F21" s="145">
        <f t="shared" si="1"/>
        <v>7.784999999999999</v>
      </c>
      <c r="G21" s="145">
        <f t="shared" si="1"/>
        <v>7.784999999999999</v>
      </c>
      <c r="H21" s="145">
        <f t="shared" si="1"/>
        <v>7.784999999999999</v>
      </c>
      <c r="I21" s="145">
        <f t="shared" si="1"/>
        <v>8.587</v>
      </c>
      <c r="J21" s="356" t="s">
        <v>96</v>
      </c>
      <c r="M21" s="132">
        <v>1</v>
      </c>
      <c r="N21" s="361" t="s">
        <v>144</v>
      </c>
      <c r="O21" s="362">
        <v>78</v>
      </c>
      <c r="P21" s="362">
        <v>62</v>
      </c>
      <c r="Q21" s="362">
        <v>57</v>
      </c>
      <c r="R21" s="362">
        <v>57</v>
      </c>
      <c r="S21" s="362">
        <v>57</v>
      </c>
      <c r="T21" s="363">
        <v>60</v>
      </c>
      <c r="U21" s="132"/>
      <c r="V21" s="146"/>
      <c r="W21" s="99"/>
    </row>
    <row r="22" spans="2:23" ht="18" customHeight="1">
      <c r="B22" s="132"/>
      <c r="C22" s="132" t="s">
        <v>81</v>
      </c>
      <c r="D22" s="145">
        <f aca="true" t="shared" si="2" ref="D22:I22">0.1604*D17-1.037</f>
        <v>9.389</v>
      </c>
      <c r="E22" s="145">
        <f t="shared" si="2"/>
        <v>9.389</v>
      </c>
      <c r="F22" s="145">
        <f t="shared" si="2"/>
        <v>9.389</v>
      </c>
      <c r="G22" s="145">
        <f t="shared" si="2"/>
        <v>9.389</v>
      </c>
      <c r="H22" s="145">
        <f t="shared" si="2"/>
        <v>9.389</v>
      </c>
      <c r="I22" s="145">
        <f t="shared" si="2"/>
        <v>8.587</v>
      </c>
      <c r="J22" s="356" t="s">
        <v>96</v>
      </c>
      <c r="M22" s="132">
        <v>2</v>
      </c>
      <c r="N22" s="361" t="s">
        <v>145</v>
      </c>
      <c r="O22" s="362">
        <v>70</v>
      </c>
      <c r="P22" s="362">
        <v>60</v>
      </c>
      <c r="Q22" s="362">
        <v>50</v>
      </c>
      <c r="R22" s="362">
        <v>50</v>
      </c>
      <c r="S22" s="362">
        <v>50</v>
      </c>
      <c r="T22" s="363">
        <v>55</v>
      </c>
      <c r="U22" s="132"/>
      <c r="V22" s="146"/>
      <c r="W22" s="99"/>
    </row>
    <row r="23" spans="2:23" ht="19.5" customHeight="1">
      <c r="B23" s="132"/>
      <c r="C23" s="132" t="s">
        <v>83</v>
      </c>
      <c r="D23" s="145">
        <f aca="true" t="shared" si="3" ref="D23:I23">0.1604*D18-1.037</f>
        <v>8.587</v>
      </c>
      <c r="E23" s="145">
        <f t="shared" si="3"/>
        <v>8.587</v>
      </c>
      <c r="F23" s="145">
        <f t="shared" si="3"/>
        <v>8.587</v>
      </c>
      <c r="G23" s="145">
        <f t="shared" si="3"/>
        <v>8.587</v>
      </c>
      <c r="H23" s="145">
        <f t="shared" si="3"/>
        <v>8.587</v>
      </c>
      <c r="I23" s="145">
        <f t="shared" si="3"/>
        <v>8.587</v>
      </c>
      <c r="J23" s="356" t="s">
        <v>96</v>
      </c>
      <c r="M23" s="132">
        <v>3</v>
      </c>
      <c r="N23" s="361" t="s">
        <v>146</v>
      </c>
      <c r="O23" s="362">
        <v>70</v>
      </c>
      <c r="P23" s="362">
        <v>60</v>
      </c>
      <c r="Q23" s="362">
        <v>50</v>
      </c>
      <c r="R23" s="362">
        <v>50</v>
      </c>
      <c r="S23" s="362">
        <v>50</v>
      </c>
      <c r="T23" s="363">
        <v>55</v>
      </c>
      <c r="U23" s="132"/>
      <c r="V23" s="146"/>
      <c r="W23" s="99"/>
    </row>
    <row r="24" spans="2:23" ht="15.75">
      <c r="B24" s="132"/>
      <c r="C24" s="132"/>
      <c r="D24" s="132"/>
      <c r="E24" s="132"/>
      <c r="F24" s="132"/>
      <c r="G24" s="132"/>
      <c r="H24" s="132"/>
      <c r="I24" s="132"/>
      <c r="J24" s="132"/>
      <c r="M24" s="132">
        <v>4</v>
      </c>
      <c r="N24" s="361" t="s">
        <v>147</v>
      </c>
      <c r="O24" s="362">
        <v>84</v>
      </c>
      <c r="P24" s="362">
        <v>72</v>
      </c>
      <c r="Q24" s="362">
        <v>60</v>
      </c>
      <c r="R24" s="362">
        <v>60</v>
      </c>
      <c r="S24" s="362">
        <v>60</v>
      </c>
      <c r="T24" s="363">
        <v>66</v>
      </c>
      <c r="U24" s="132"/>
      <c r="V24" s="146"/>
      <c r="W24" s="99"/>
    </row>
    <row r="25" spans="2:23" ht="15.75">
      <c r="B25" s="135" t="s">
        <v>178</v>
      </c>
      <c r="C25" s="132" t="s">
        <v>78</v>
      </c>
      <c r="D25" s="132"/>
      <c r="E25" s="132"/>
      <c r="F25" s="132"/>
      <c r="G25" s="132">
        <f>'Enteric fermentation'!G35*1.6</f>
        <v>0.9600000000000002</v>
      </c>
      <c r="H25" s="132"/>
      <c r="I25" s="132"/>
      <c r="J25" s="132" t="s">
        <v>88</v>
      </c>
      <c r="M25" s="132">
        <v>5</v>
      </c>
      <c r="N25" s="361" t="s">
        <v>148</v>
      </c>
      <c r="O25" s="362">
        <v>77</v>
      </c>
      <c r="P25" s="362">
        <v>66</v>
      </c>
      <c r="Q25" s="362">
        <v>55</v>
      </c>
      <c r="R25" s="362">
        <v>55</v>
      </c>
      <c r="S25" s="362">
        <v>55</v>
      </c>
      <c r="T25" s="363">
        <v>60</v>
      </c>
      <c r="U25" s="132"/>
      <c r="V25" s="146"/>
      <c r="W25" s="99"/>
    </row>
    <row r="26" spans="2:23" ht="15.75">
      <c r="B26" s="132"/>
      <c r="C26" s="132" t="s">
        <v>80</v>
      </c>
      <c r="D26" s="132"/>
      <c r="E26" s="132"/>
      <c r="F26" s="132"/>
      <c r="G26" s="132">
        <f>'Enteric fermentation'!G36*1.6</f>
        <v>0</v>
      </c>
      <c r="H26" s="132"/>
      <c r="I26" s="132"/>
      <c r="J26" s="132" t="s">
        <v>88</v>
      </c>
      <c r="M26" s="132">
        <v>6</v>
      </c>
      <c r="N26" s="361" t="s">
        <v>149</v>
      </c>
      <c r="O26" s="362">
        <v>70</v>
      </c>
      <c r="P26" s="362">
        <v>60</v>
      </c>
      <c r="Q26" s="362">
        <v>50</v>
      </c>
      <c r="R26" s="362">
        <v>50</v>
      </c>
      <c r="S26" s="362">
        <v>50</v>
      </c>
      <c r="T26" s="363">
        <v>55</v>
      </c>
      <c r="U26" s="132"/>
      <c r="V26" s="146"/>
      <c r="W26" s="99"/>
    </row>
    <row r="27" spans="2:23" ht="15.75">
      <c r="B27" s="132"/>
      <c r="C27" s="132" t="s">
        <v>81</v>
      </c>
      <c r="D27" s="132"/>
      <c r="E27" s="132"/>
      <c r="F27" s="132"/>
      <c r="G27" s="132">
        <f>'Enteric fermentation'!G37*1.6</f>
        <v>0</v>
      </c>
      <c r="H27" s="132"/>
      <c r="I27" s="132"/>
      <c r="J27" s="132" t="s">
        <v>88</v>
      </c>
      <c r="M27" s="132">
        <v>7</v>
      </c>
      <c r="N27" s="361" t="s">
        <v>150</v>
      </c>
      <c r="O27" s="362">
        <v>84</v>
      </c>
      <c r="P27" s="362">
        <v>72</v>
      </c>
      <c r="Q27" s="362">
        <v>60</v>
      </c>
      <c r="R27" s="362">
        <v>60</v>
      </c>
      <c r="S27" s="362">
        <v>60</v>
      </c>
      <c r="T27" s="363">
        <v>66</v>
      </c>
      <c r="U27" s="132"/>
      <c r="V27" s="146"/>
      <c r="W27" s="99"/>
    </row>
    <row r="28" spans="2:23" ht="15.75">
      <c r="B28" s="132"/>
      <c r="C28" s="132" t="s">
        <v>83</v>
      </c>
      <c r="D28" s="132"/>
      <c r="E28" s="132"/>
      <c r="F28" s="132"/>
      <c r="G28" s="132">
        <f>'Enteric fermentation'!G38*1.6</f>
        <v>0.32000000000000006</v>
      </c>
      <c r="H28" s="132"/>
      <c r="I28" s="132"/>
      <c r="J28" s="132" t="s">
        <v>88</v>
      </c>
      <c r="M28" s="132"/>
      <c r="N28" s="364" t="s">
        <v>179</v>
      </c>
      <c r="O28" s="365">
        <f>VLOOKUP('Data input'!$M$4,$M$21:$T$27,3,FALSE)</f>
        <v>78</v>
      </c>
      <c r="P28" s="365">
        <f>VLOOKUP('Data input'!$M$4,$M$21:$T$27,4,FALSE)</f>
        <v>62</v>
      </c>
      <c r="Q28" s="365">
        <f>VLOOKUP('Data input'!$M$4,$M$21:$T$27,5,FALSE)</f>
        <v>57</v>
      </c>
      <c r="R28" s="365">
        <f>VLOOKUP('Data input'!$M$4,$M$21:$T$27,6,FALSE)</f>
        <v>57</v>
      </c>
      <c r="S28" s="365">
        <f>VLOOKUP('Data input'!$M$4,$M$21:$T$27,7,FALSE)</f>
        <v>57</v>
      </c>
      <c r="T28" s="366">
        <f>VLOOKUP('Data input'!$M$4,$M$21:$T$27,8,FALSE)</f>
        <v>60</v>
      </c>
      <c r="U28" s="132"/>
      <c r="V28" s="146"/>
      <c r="W28" s="99"/>
    </row>
    <row r="29" spans="2:23" ht="15.75">
      <c r="B29" s="132"/>
      <c r="C29" s="132"/>
      <c r="D29" s="132"/>
      <c r="E29" s="132"/>
      <c r="F29" s="132"/>
      <c r="G29" s="132"/>
      <c r="H29" s="132"/>
      <c r="I29" s="132"/>
      <c r="J29" s="132"/>
      <c r="M29" s="132"/>
      <c r="N29" s="132"/>
      <c r="O29" s="132"/>
      <c r="P29" s="132"/>
      <c r="Q29" s="132"/>
      <c r="R29" s="132"/>
      <c r="S29" s="132"/>
      <c r="T29" s="132"/>
      <c r="U29" s="132"/>
      <c r="V29" s="146"/>
      <c r="W29" s="99"/>
    </row>
    <row r="30" spans="2:23" ht="15.75">
      <c r="B30" s="135" t="s">
        <v>180</v>
      </c>
      <c r="C30" s="132"/>
      <c r="D30" s="147">
        <f>'Data input'!D52*'Data input'!D54%/365</f>
        <v>0.012328767123287671</v>
      </c>
      <c r="E30" s="147">
        <f>'Data input'!E52*'Data input'!E54%/365</f>
        <v>0.013150684931506852</v>
      </c>
      <c r="F30" s="147">
        <f>'Data input'!F52*'Data input'!F54%/365</f>
        <v>0.010273972602739725</v>
      </c>
      <c r="G30" s="147">
        <f>'Data input'!G52*'Data input'!G54%/365</f>
        <v>0.010273972602739725</v>
      </c>
      <c r="H30" s="147">
        <f>'Data input'!H52*'Data input'!H54%/365</f>
        <v>0.012328767123287671</v>
      </c>
      <c r="I30" s="147">
        <f>'Data input'!I52*'Data input'!I54%/365</f>
        <v>0.00410958904109589</v>
      </c>
      <c r="J30" s="132" t="s">
        <v>88</v>
      </c>
      <c r="M30" s="138"/>
      <c r="N30" s="138" t="s">
        <v>78</v>
      </c>
      <c r="O30" s="147">
        <f aca="true" t="shared" si="4" ref="O30:T33">((0.045*D25)+(D$30*0.84)+(((212-4*(((D33*1000)/(4*O$28^0.75))-1))-(140-4*(((D33*1000)/(4*O$28^0.75))-1))/(1+EXP(-6*(D38-0.4))))*D33)/1000)/6.25</f>
        <v>0.002237291118189787</v>
      </c>
      <c r="P30" s="147">
        <f t="shared" si="4"/>
        <v>0.003005728779043575</v>
      </c>
      <c r="Q30" s="147">
        <f t="shared" si="4"/>
        <v>0.001629915929406262</v>
      </c>
      <c r="R30" s="147">
        <f t="shared" si="4"/>
        <v>0.009580301003011861</v>
      </c>
      <c r="S30" s="147">
        <f t="shared" si="4"/>
        <v>0.001656986301369863</v>
      </c>
      <c r="T30" s="147">
        <f t="shared" si="4"/>
        <v>0.005059628500255204</v>
      </c>
      <c r="U30" s="132" t="s">
        <v>133</v>
      </c>
      <c r="V30" s="134"/>
      <c r="W30" s="99"/>
    </row>
    <row r="31" spans="2:23" ht="15.75">
      <c r="B31" s="132"/>
      <c r="C31" s="132"/>
      <c r="D31" s="132"/>
      <c r="E31" s="132"/>
      <c r="F31" s="132"/>
      <c r="G31" s="132"/>
      <c r="H31" s="132"/>
      <c r="I31" s="132"/>
      <c r="J31" s="132"/>
      <c r="M31" s="138"/>
      <c r="N31" s="138" t="s">
        <v>80</v>
      </c>
      <c r="O31" s="147">
        <f t="shared" si="4"/>
        <v>0.0010528988037037954</v>
      </c>
      <c r="P31" s="147">
        <f t="shared" si="4"/>
        <v>0.0011826465537843342</v>
      </c>
      <c r="Q31" s="147">
        <f t="shared" si="4"/>
        <v>0.001380821917808219</v>
      </c>
      <c r="R31" s="147">
        <f t="shared" si="4"/>
        <v>0.001380821917808219</v>
      </c>
      <c r="S31" s="147">
        <f t="shared" si="4"/>
        <v>0.001656986301369863</v>
      </c>
      <c r="T31" s="147">
        <f t="shared" si="4"/>
        <v>0.0015782348934490701</v>
      </c>
      <c r="U31" s="132" t="s">
        <v>133</v>
      </c>
      <c r="V31" s="134"/>
      <c r="W31" s="99"/>
    </row>
    <row r="32" spans="2:23" ht="15.75">
      <c r="B32" s="132"/>
      <c r="C32" s="132"/>
      <c r="D32" s="132"/>
      <c r="E32" s="132"/>
      <c r="F32" s="132"/>
      <c r="G32" s="132"/>
      <c r="H32" s="132"/>
      <c r="I32" s="132"/>
      <c r="J32" s="132"/>
      <c r="M32" s="138"/>
      <c r="N32" s="138" t="s">
        <v>81</v>
      </c>
      <c r="O32" s="147">
        <f t="shared" si="4"/>
        <v>0.001656986301369863</v>
      </c>
      <c r="P32" s="147">
        <f t="shared" si="4"/>
        <v>0.0014064665408758442</v>
      </c>
      <c r="Q32" s="147">
        <f t="shared" si="4"/>
        <v>0.0011233988011296507</v>
      </c>
      <c r="R32" s="147">
        <f t="shared" si="4"/>
        <v>0.0011407755921383654</v>
      </c>
      <c r="S32" s="147">
        <f t="shared" si="4"/>
        <v>0.001656986301369863</v>
      </c>
      <c r="T32" s="147">
        <f t="shared" si="4"/>
        <v>0.0014522316214118987</v>
      </c>
      <c r="U32" s="132" t="s">
        <v>133</v>
      </c>
      <c r="V32" s="134"/>
      <c r="W32" s="99"/>
    </row>
    <row r="33" spans="2:22" ht="15.75">
      <c r="B33" s="135" t="s">
        <v>181</v>
      </c>
      <c r="C33" s="132" t="s">
        <v>78</v>
      </c>
      <c r="D33" s="132">
        <f>'Data input'!D16*0.92</f>
        <v>0.046000000000000006</v>
      </c>
      <c r="E33" s="132">
        <f>'Data input'!E16*0.92</f>
        <v>0.1012</v>
      </c>
      <c r="F33" s="132">
        <f>'Data input'!F16*0.92</f>
        <v>0.0184</v>
      </c>
      <c r="G33" s="132">
        <f>'Data input'!G16*0.92</f>
        <v>0.1012</v>
      </c>
      <c r="H33" s="132">
        <f>'Data input'!H16*0.92</f>
        <v>0</v>
      </c>
      <c r="I33" s="132">
        <f>'Data input'!I16*0.92</f>
        <v>0.18400000000000002</v>
      </c>
      <c r="J33" s="132"/>
      <c r="M33" s="132"/>
      <c r="N33" s="138" t="s">
        <v>83</v>
      </c>
      <c r="O33" s="147">
        <f t="shared" si="4"/>
        <v>0.001656986301369863</v>
      </c>
      <c r="P33" s="147">
        <f t="shared" si="4"/>
        <v>0.0015212587186904428</v>
      </c>
      <c r="Q33" s="147">
        <f t="shared" si="4"/>
        <v>0.001380821917808219</v>
      </c>
      <c r="R33" s="147">
        <f t="shared" si="4"/>
        <v>0.0036848219178082196</v>
      </c>
      <c r="S33" s="147">
        <f t="shared" si="4"/>
        <v>0.001656986301369863</v>
      </c>
      <c r="T33" s="147">
        <f t="shared" si="4"/>
        <v>0.001957683813742427</v>
      </c>
      <c r="U33" s="132" t="s">
        <v>133</v>
      </c>
      <c r="V33" s="134"/>
    </row>
    <row r="34" spans="2:22" ht="15.75">
      <c r="B34" s="132"/>
      <c r="C34" s="132" t="s">
        <v>80</v>
      </c>
      <c r="D34" s="132">
        <f>'Data input'!D17*0.92</f>
        <v>-0.046000000000000006</v>
      </c>
      <c r="E34" s="132">
        <f>'Data input'!E17*0.92</f>
        <v>-0.046000000000000006</v>
      </c>
      <c r="F34" s="132">
        <f>'Data input'!F17*0.92</f>
        <v>0</v>
      </c>
      <c r="G34" s="132">
        <f>'Data input'!G17*0.92</f>
        <v>0</v>
      </c>
      <c r="H34" s="132">
        <f>'Data input'!H17*0.92</f>
        <v>0</v>
      </c>
      <c r="I34" s="132">
        <f>'Data input'!I17*0.92</f>
        <v>0.046000000000000006</v>
      </c>
      <c r="J34" s="132"/>
      <c r="M34" s="132"/>
      <c r="N34" s="132"/>
      <c r="O34" s="132"/>
      <c r="P34" s="132"/>
      <c r="Q34" s="132"/>
      <c r="R34" s="132"/>
      <c r="S34" s="132"/>
      <c r="T34" s="132"/>
      <c r="U34" s="132"/>
      <c r="V34" s="134"/>
    </row>
    <row r="35" spans="2:22" ht="15.75">
      <c r="B35" s="132"/>
      <c r="C35" s="132" t="s">
        <v>81</v>
      </c>
      <c r="D35" s="132">
        <f>'Data input'!D18*0.92</f>
        <v>0</v>
      </c>
      <c r="E35" s="132">
        <f>'Data input'!E18*0.92</f>
        <v>-0.0276</v>
      </c>
      <c r="F35" s="132">
        <f>'Data input'!F18*0.92</f>
        <v>-0.0184</v>
      </c>
      <c r="G35" s="132">
        <f>'Data input'!G18*0.92</f>
        <v>-0.0184</v>
      </c>
      <c r="H35" s="132">
        <f>'Data input'!H18*0.92</f>
        <v>0</v>
      </c>
      <c r="I35" s="132">
        <f>'Data input'!I18*0.92</f>
        <v>0.046000000000000006</v>
      </c>
      <c r="J35" s="132"/>
      <c r="M35" s="135" t="s">
        <v>182</v>
      </c>
      <c r="N35" s="132"/>
      <c r="O35" s="135" t="s">
        <v>183</v>
      </c>
      <c r="P35" s="132"/>
      <c r="Q35" s="132"/>
      <c r="R35" s="132"/>
      <c r="S35" s="132"/>
      <c r="T35" s="132"/>
      <c r="U35" s="132"/>
      <c r="V35" s="134" t="s">
        <v>184</v>
      </c>
    </row>
    <row r="36" spans="2:22" ht="15.75">
      <c r="B36" s="132"/>
      <c r="C36" s="132" t="s">
        <v>83</v>
      </c>
      <c r="D36" s="132">
        <f>'Data input'!D19*0.92</f>
        <v>0</v>
      </c>
      <c r="E36" s="132">
        <f>'Data input'!E19*0.92</f>
        <v>-0.0184</v>
      </c>
      <c r="F36" s="132">
        <f>'Data input'!F19*0.92</f>
        <v>0</v>
      </c>
      <c r="G36" s="132">
        <f>'Data input'!G19*0.92</f>
        <v>0</v>
      </c>
      <c r="H36" s="132">
        <f>'Data input'!H19*0.92</f>
        <v>0</v>
      </c>
      <c r="I36" s="132">
        <f>'Data input'!I19*0.92</f>
        <v>0.09200000000000001</v>
      </c>
      <c r="J36" s="132"/>
      <c r="M36" s="132"/>
      <c r="N36" s="138" t="s">
        <v>78</v>
      </c>
      <c r="O36" s="148">
        <f aca="true" t="shared" si="5" ref="O36:T39">(O7/6.25)-O30-O13</f>
        <v>0.029444207931694007</v>
      </c>
      <c r="P36" s="148">
        <f t="shared" si="5"/>
        <v>0.023875742560309283</v>
      </c>
      <c r="Q36" s="148">
        <f t="shared" si="5"/>
        <v>0.018413430299475064</v>
      </c>
      <c r="R36" s="148">
        <f t="shared" si="5"/>
        <v>0.016705688424632187</v>
      </c>
      <c r="S36" s="148">
        <f t="shared" si="5"/>
        <v>0.020619275925447125</v>
      </c>
      <c r="T36" s="148">
        <f t="shared" si="5"/>
        <v>0.011810232539907916</v>
      </c>
      <c r="U36" s="132" t="s">
        <v>133</v>
      </c>
      <c r="V36" s="134"/>
    </row>
    <row r="37" spans="2:22" ht="15.75">
      <c r="B37" s="132"/>
      <c r="C37" s="132"/>
      <c r="D37" s="132"/>
      <c r="E37" s="132"/>
      <c r="F37" s="132"/>
      <c r="G37" s="132"/>
      <c r="H37" s="132"/>
      <c r="I37" s="132"/>
      <c r="J37" s="132"/>
      <c r="M37" s="132"/>
      <c r="N37" s="138" t="s">
        <v>80</v>
      </c>
      <c r="O37" s="148">
        <f t="shared" si="5"/>
        <v>0.0065249667278525</v>
      </c>
      <c r="P37" s="148">
        <f t="shared" si="5"/>
        <v>0.00509924622406643</v>
      </c>
      <c r="Q37" s="148">
        <f t="shared" si="5"/>
        <v>0.0036724953228903477</v>
      </c>
      <c r="R37" s="148">
        <f t="shared" si="5"/>
        <v>0.004276873947310693</v>
      </c>
      <c r="S37" s="148">
        <f t="shared" si="5"/>
        <v>0.00400070956374905</v>
      </c>
      <c r="T37" s="148">
        <f t="shared" si="5"/>
        <v>0.0036307861159213476</v>
      </c>
      <c r="U37" s="132" t="s">
        <v>133</v>
      </c>
      <c r="V37" s="134"/>
    </row>
    <row r="38" spans="2:22" ht="15.75">
      <c r="B38" s="135" t="s">
        <v>185</v>
      </c>
      <c r="C38" s="132" t="s">
        <v>78</v>
      </c>
      <c r="D38" s="149">
        <f>'Data input'!D10/O$28</f>
        <v>0.8974358974358975</v>
      </c>
      <c r="E38" s="149">
        <f>'Data input'!E10/P$28</f>
        <v>0.967741935483871</v>
      </c>
      <c r="F38" s="149">
        <f>'Data input'!F10/Q$28</f>
        <v>0.7894736842105263</v>
      </c>
      <c r="G38" s="149">
        <f>'Data input'!G10/R$28</f>
        <v>0.8771929824561403</v>
      </c>
      <c r="H38" s="149">
        <f>'Data input'!H10/S$28</f>
        <v>0.8771929824561403</v>
      </c>
      <c r="I38" s="149">
        <f>'Data input'!I10/T$28</f>
        <v>0.3333333333333333</v>
      </c>
      <c r="J38" s="132"/>
      <c r="M38" s="132"/>
      <c r="N38" s="138" t="s">
        <v>81</v>
      </c>
      <c r="O38" s="148">
        <f t="shared" si="5"/>
        <v>0.0190759231085935</v>
      </c>
      <c r="P38" s="148">
        <f t="shared" si="5"/>
        <v>0.015101646142587037</v>
      </c>
      <c r="Q38" s="148">
        <f t="shared" si="5"/>
        <v>0.01234121421330176</v>
      </c>
      <c r="R38" s="148">
        <f t="shared" si="5"/>
        <v>0.0140761188475017</v>
      </c>
      <c r="S38" s="148">
        <f t="shared" si="5"/>
        <v>0.012069335737660572</v>
      </c>
      <c r="T38" s="148">
        <f t="shared" si="5"/>
        <v>0.007188665591895899</v>
      </c>
      <c r="U38" s="132" t="s">
        <v>133</v>
      </c>
      <c r="V38" s="134"/>
    </row>
    <row r="39" spans="2:22" ht="15.75">
      <c r="B39" s="132"/>
      <c r="C39" s="132" t="s">
        <v>80</v>
      </c>
      <c r="D39" s="149">
        <f>'Data input'!D11/O$28</f>
        <v>0.8333333333333334</v>
      </c>
      <c r="E39" s="149">
        <f>'Data input'!E11/P$28</f>
        <v>0.8870967741935484</v>
      </c>
      <c r="F39" s="149">
        <f>'Data input'!F11/Q$28</f>
        <v>0.7894736842105263</v>
      </c>
      <c r="G39" s="149">
        <f>'Data input'!G11/R$28</f>
        <v>0.8771929824561403</v>
      </c>
      <c r="H39" s="149">
        <f>'Data input'!H11/S$28</f>
        <v>0.8771929824561403</v>
      </c>
      <c r="I39" s="149">
        <f>'Data input'!I11/T$28</f>
        <v>0.4166666666666667</v>
      </c>
      <c r="J39" s="132"/>
      <c r="M39" s="132"/>
      <c r="N39" s="138" t="s">
        <v>83</v>
      </c>
      <c r="O39" s="148">
        <f t="shared" si="5"/>
        <v>0.010235720177109359</v>
      </c>
      <c r="P39" s="148">
        <f t="shared" si="5"/>
        <v>0.007425524846314891</v>
      </c>
      <c r="Q39" s="148">
        <f t="shared" si="5"/>
        <v>0.006266657253703979</v>
      </c>
      <c r="R39" s="148">
        <f t="shared" si="5"/>
        <v>0.006705437824558462</v>
      </c>
      <c r="S39" s="148">
        <f t="shared" si="5"/>
        <v>0.007289797263635472</v>
      </c>
      <c r="T39" s="148">
        <f t="shared" si="5"/>
        <v>0.007537441559289398</v>
      </c>
      <c r="U39" s="132" t="s">
        <v>133</v>
      </c>
      <c r="V39" s="134"/>
    </row>
    <row r="40" spans="2:22" ht="15.75">
      <c r="B40" s="132"/>
      <c r="C40" s="132" t="s">
        <v>81</v>
      </c>
      <c r="D40" s="149">
        <f>'Data input'!D12/O$28</f>
        <v>0.8333333333333334</v>
      </c>
      <c r="E40" s="149">
        <f>'Data input'!E12/P$28</f>
        <v>0.8387096774193549</v>
      </c>
      <c r="F40" s="149">
        <f>'Data input'!F12/Q$28</f>
        <v>0.7543859649122807</v>
      </c>
      <c r="G40" s="149">
        <f>'Data input'!G12/R$28</f>
        <v>0.8421052631578947</v>
      </c>
      <c r="H40" s="149">
        <f>'Data input'!H12/S$28</f>
        <v>0.8771929824561403</v>
      </c>
      <c r="I40" s="149">
        <f>'Data input'!I12/T$28</f>
        <v>0.5</v>
      </c>
      <c r="J40" s="132"/>
      <c r="M40" s="132"/>
      <c r="N40" s="132"/>
      <c r="O40" s="132"/>
      <c r="P40" s="132"/>
      <c r="Q40" s="132"/>
      <c r="R40" s="132"/>
      <c r="S40" s="132"/>
      <c r="T40" s="132"/>
      <c r="U40" s="132"/>
      <c r="V40" s="134"/>
    </row>
    <row r="41" spans="2:22" ht="15.75">
      <c r="B41" s="132"/>
      <c r="C41" s="132" t="s">
        <v>83</v>
      </c>
      <c r="D41" s="149">
        <f>'Data input'!D13/O$28</f>
        <v>0.8333333333333334</v>
      </c>
      <c r="E41" s="149">
        <f>'Data input'!E13/P$28</f>
        <v>0.8064516129032258</v>
      </c>
      <c r="F41" s="149">
        <f>'Data input'!F13/Q$28</f>
        <v>0.7543859649122807</v>
      </c>
      <c r="G41" s="149">
        <f>'Data input'!G13/R$28</f>
        <v>0.8421052631578947</v>
      </c>
      <c r="H41" s="149">
        <f>'Data input'!H13/S$28</f>
        <v>0.8771929824561403</v>
      </c>
      <c r="I41" s="149">
        <f>'Data input'!I13/T$28</f>
        <v>0.6666666666666666</v>
      </c>
      <c r="J41" s="132"/>
      <c r="M41" s="135" t="s">
        <v>186</v>
      </c>
      <c r="N41" s="132"/>
      <c r="O41" s="135" t="s">
        <v>187</v>
      </c>
      <c r="P41" s="132"/>
      <c r="Q41" s="132"/>
      <c r="R41" s="132"/>
      <c r="S41" s="132"/>
      <c r="T41" s="132"/>
      <c r="U41" s="132"/>
      <c r="V41" s="134" t="s">
        <v>188</v>
      </c>
    </row>
    <row r="42" spans="2:22" ht="15.75">
      <c r="B42" s="132"/>
      <c r="C42" s="132"/>
      <c r="D42" s="132"/>
      <c r="E42" s="132"/>
      <c r="F42" s="132"/>
      <c r="G42" s="132"/>
      <c r="H42" s="132"/>
      <c r="I42" s="132"/>
      <c r="J42" s="132"/>
      <c r="M42" s="132"/>
      <c r="N42" s="138" t="s">
        <v>78</v>
      </c>
      <c r="O42" s="150">
        <f aca="true" t="shared" si="6" ref="O42:T45">(D43*O13*91.25)*10^-6</f>
        <v>3.8077723607827644E-05</v>
      </c>
      <c r="P42" s="150">
        <f t="shared" si="6"/>
        <v>0.0012923444490046915</v>
      </c>
      <c r="Q42" s="150">
        <f t="shared" si="6"/>
        <v>0.00024089926953192476</v>
      </c>
      <c r="R42" s="150">
        <f t="shared" si="6"/>
        <v>0.00031592906592208133</v>
      </c>
      <c r="S42" s="150">
        <f t="shared" si="6"/>
        <v>0</v>
      </c>
      <c r="T42" s="150">
        <f t="shared" si="6"/>
        <v>0</v>
      </c>
      <c r="U42" s="132" t="s">
        <v>189</v>
      </c>
      <c r="V42" s="134"/>
    </row>
    <row r="43" spans="2:22" ht="15.75">
      <c r="B43" s="135" t="s">
        <v>154</v>
      </c>
      <c r="C43" s="132" t="s">
        <v>78</v>
      </c>
      <c r="D43" s="132">
        <f>'Data input'!D4</f>
        <v>50</v>
      </c>
      <c r="E43" s="132">
        <f>'Data input'!E4</f>
        <v>2000</v>
      </c>
      <c r="F43" s="132">
        <f>'Data input'!F4</f>
        <v>500</v>
      </c>
      <c r="G43" s="132">
        <f>'Data input'!G4</f>
        <v>500</v>
      </c>
      <c r="H43" s="132">
        <f>'Data input'!H4</f>
        <v>0</v>
      </c>
      <c r="I43" s="132">
        <f>'Data input'!I4</f>
        <v>0</v>
      </c>
      <c r="J43" s="132" t="str">
        <f>'Data input'!J4</f>
        <v>head</v>
      </c>
      <c r="M43" s="132"/>
      <c r="N43" s="138" t="s">
        <v>80</v>
      </c>
      <c r="O43" s="150">
        <f t="shared" si="6"/>
        <v>2.4583781459353927E-05</v>
      </c>
      <c r="P43" s="150">
        <f t="shared" si="6"/>
        <v>0.0008151777228491437</v>
      </c>
      <c r="Q43" s="150">
        <f t="shared" si="6"/>
        <v>0.00016393751798945614</v>
      </c>
      <c r="R43" s="150">
        <f t="shared" si="6"/>
        <v>0.0001835445062100604</v>
      </c>
      <c r="S43" s="150">
        <f t="shared" si="6"/>
        <v>0</v>
      </c>
      <c r="T43" s="150">
        <f t="shared" si="6"/>
        <v>0</v>
      </c>
      <c r="U43" s="132" t="s">
        <v>189</v>
      </c>
      <c r="V43" s="134"/>
    </row>
    <row r="44" spans="2:22" ht="15.75">
      <c r="B44" s="132"/>
      <c r="C44" s="132" t="s">
        <v>80</v>
      </c>
      <c r="D44" s="132">
        <f>'Data input'!D5</f>
        <v>50</v>
      </c>
      <c r="E44" s="132">
        <f>'Data input'!E5</f>
        <v>2000</v>
      </c>
      <c r="F44" s="132">
        <f>'Data input'!F5</f>
        <v>500</v>
      </c>
      <c r="G44" s="132">
        <f>'Data input'!G5</f>
        <v>500</v>
      </c>
      <c r="H44" s="132">
        <f>'Data input'!H5</f>
        <v>0</v>
      </c>
      <c r="I44" s="132">
        <f>'Data input'!I5</f>
        <v>0</v>
      </c>
      <c r="J44" s="132" t="str">
        <f>'Data input'!J5</f>
        <v>head</v>
      </c>
      <c r="M44" s="132"/>
      <c r="N44" s="138" t="s">
        <v>81</v>
      </c>
      <c r="O44" s="150">
        <f t="shared" si="6"/>
        <v>3.196843955527813E-05</v>
      </c>
      <c r="P44" s="150">
        <f t="shared" si="6"/>
        <v>0.0010181660317087856</v>
      </c>
      <c r="Q44" s="150">
        <f t="shared" si="6"/>
        <v>0.0002076132484716348</v>
      </c>
      <c r="R44" s="150">
        <f t="shared" si="6"/>
        <v>0.0002346319855518729</v>
      </c>
      <c r="S44" s="150">
        <f t="shared" si="6"/>
        <v>0</v>
      </c>
      <c r="T44" s="150">
        <f t="shared" si="6"/>
        <v>0</v>
      </c>
      <c r="U44" s="132" t="s">
        <v>189</v>
      </c>
      <c r="V44" s="134"/>
    </row>
    <row r="45" spans="2:22" ht="15.75">
      <c r="B45" s="132"/>
      <c r="C45" s="132" t="s">
        <v>81</v>
      </c>
      <c r="D45" s="132">
        <f>'Data input'!D6</f>
        <v>50</v>
      </c>
      <c r="E45" s="132">
        <f>'Data input'!E6</f>
        <v>2000</v>
      </c>
      <c r="F45" s="132">
        <f>'Data input'!F6</f>
        <v>500</v>
      </c>
      <c r="G45" s="132">
        <f>'Data input'!G6</f>
        <v>500</v>
      </c>
      <c r="H45" s="132">
        <f>'Data input'!H6</f>
        <v>0</v>
      </c>
      <c r="I45" s="132">
        <f>'Data input'!I6</f>
        <v>0</v>
      </c>
      <c r="J45" s="132" t="str">
        <f>'Data input'!J6</f>
        <v>head</v>
      </c>
      <c r="M45" s="132"/>
      <c r="N45" s="138" t="s">
        <v>83</v>
      </c>
      <c r="O45" s="150">
        <f t="shared" si="6"/>
        <v>2.4851510883766162E-05</v>
      </c>
      <c r="P45" s="150">
        <f t="shared" si="6"/>
        <v>0.0007478233471675224</v>
      </c>
      <c r="Q45" s="150">
        <f t="shared" si="6"/>
        <v>0.00015980501344090454</v>
      </c>
      <c r="R45" s="150">
        <f t="shared" si="6"/>
        <v>0.0002171193357372779</v>
      </c>
      <c r="S45" s="150">
        <f t="shared" si="6"/>
        <v>0</v>
      </c>
      <c r="T45" s="150">
        <f t="shared" si="6"/>
        <v>0</v>
      </c>
      <c r="U45" s="132" t="s">
        <v>189</v>
      </c>
      <c r="V45" s="134"/>
    </row>
    <row r="46" spans="2:22" ht="15.75">
      <c r="B46" s="132"/>
      <c r="C46" s="132" t="s">
        <v>83</v>
      </c>
      <c r="D46" s="132">
        <f>'Data input'!D7</f>
        <v>50</v>
      </c>
      <c r="E46" s="132">
        <f>'Data input'!E7</f>
        <v>2000</v>
      </c>
      <c r="F46" s="132">
        <f>'Data input'!F7</f>
        <v>500</v>
      </c>
      <c r="G46" s="132">
        <f>'Data input'!G7</f>
        <v>500</v>
      </c>
      <c r="H46" s="132">
        <f>'Data input'!H7</f>
        <v>0</v>
      </c>
      <c r="I46" s="132">
        <f>'Data input'!I7</f>
        <v>0</v>
      </c>
      <c r="J46" s="132" t="str">
        <f>'Data input'!J7</f>
        <v>head</v>
      </c>
      <c r="M46" s="132"/>
      <c r="N46" s="132"/>
      <c r="O46" s="132"/>
      <c r="P46" s="132"/>
      <c r="Q46" s="132"/>
      <c r="R46" s="132"/>
      <c r="S46" s="132"/>
      <c r="T46" s="132"/>
      <c r="U46" s="132"/>
      <c r="V46" s="134"/>
    </row>
    <row r="47" spans="2:22" ht="15.75">
      <c r="B47" s="132"/>
      <c r="C47" s="132"/>
      <c r="D47" s="132"/>
      <c r="E47" s="132"/>
      <c r="F47" s="132"/>
      <c r="G47" s="132"/>
      <c r="H47" s="132"/>
      <c r="I47" s="132"/>
      <c r="J47" s="132"/>
      <c r="M47" s="135" t="s">
        <v>190</v>
      </c>
      <c r="N47" s="132"/>
      <c r="O47" s="135" t="s">
        <v>191</v>
      </c>
      <c r="P47" s="132"/>
      <c r="Q47" s="132"/>
      <c r="R47" s="132"/>
      <c r="S47" s="132"/>
      <c r="T47" s="132"/>
      <c r="U47" s="132"/>
      <c r="V47" s="134" t="s">
        <v>192</v>
      </c>
    </row>
    <row r="48" spans="2:22" ht="15.75">
      <c r="B48" s="151" t="s">
        <v>193</v>
      </c>
      <c r="C48" s="152">
        <f>44/28</f>
        <v>1.5714285714285714</v>
      </c>
      <c r="D48" s="153"/>
      <c r="E48" s="153"/>
      <c r="F48" s="153"/>
      <c r="G48" s="153"/>
      <c r="H48" s="153"/>
      <c r="I48" s="153"/>
      <c r="J48" s="153"/>
      <c r="M48" s="132"/>
      <c r="N48" s="138" t="s">
        <v>78</v>
      </c>
      <c r="O48" s="150">
        <f aca="true" t="shared" si="7" ref="O48:T51">(D43*O36*91.25)*10^-6</f>
        <v>0.0001343391986883539</v>
      </c>
      <c r="P48" s="150">
        <f t="shared" si="7"/>
        <v>0.004357323017256444</v>
      </c>
      <c r="Q48" s="150">
        <f t="shared" si="7"/>
        <v>0.0008401127574135497</v>
      </c>
      <c r="R48" s="150">
        <f t="shared" si="7"/>
        <v>0.0007621970343738434</v>
      </c>
      <c r="S48" s="150">
        <f t="shared" si="7"/>
        <v>0</v>
      </c>
      <c r="T48" s="150">
        <f t="shared" si="7"/>
        <v>0</v>
      </c>
      <c r="U48" s="132" t="s">
        <v>189</v>
      </c>
      <c r="V48" s="134"/>
    </row>
    <row r="49" spans="13:22" ht="15.75">
      <c r="M49" s="132"/>
      <c r="N49" s="138" t="s">
        <v>80</v>
      </c>
      <c r="O49" s="150">
        <f t="shared" si="7"/>
        <v>2.9770160695827025E-05</v>
      </c>
      <c r="P49" s="150">
        <f t="shared" si="7"/>
        <v>0.0009306124358921234</v>
      </c>
      <c r="Q49" s="150">
        <f t="shared" si="7"/>
        <v>0.0001675575991068721</v>
      </c>
      <c r="R49" s="150">
        <f t="shared" si="7"/>
        <v>0.00019513237384605035</v>
      </c>
      <c r="S49" s="150">
        <f t="shared" si="7"/>
        <v>0</v>
      </c>
      <c r="T49" s="150">
        <f t="shared" si="7"/>
        <v>0</v>
      </c>
      <c r="U49" s="132" t="s">
        <v>189</v>
      </c>
      <c r="V49" s="134"/>
    </row>
    <row r="50" spans="13:22" ht="15.75">
      <c r="M50" s="132"/>
      <c r="N50" s="138" t="s">
        <v>81</v>
      </c>
      <c r="O50" s="150">
        <f t="shared" si="7"/>
        <v>8.703389918295783E-05</v>
      </c>
      <c r="P50" s="150">
        <f t="shared" si="7"/>
        <v>0.002756050421022134</v>
      </c>
      <c r="Q50" s="150">
        <f t="shared" si="7"/>
        <v>0.0005630678984818927</v>
      </c>
      <c r="R50" s="150">
        <f t="shared" si="7"/>
        <v>0.000642222922417265</v>
      </c>
      <c r="S50" s="150">
        <f t="shared" si="7"/>
        <v>0</v>
      </c>
      <c r="T50" s="150">
        <f t="shared" si="7"/>
        <v>0</v>
      </c>
      <c r="U50" s="132" t="s">
        <v>189</v>
      </c>
      <c r="V50" s="134"/>
    </row>
    <row r="51" spans="13:22" ht="15.75">
      <c r="M51" s="132"/>
      <c r="N51" s="138" t="s">
        <v>83</v>
      </c>
      <c r="O51" s="150">
        <f t="shared" si="7"/>
        <v>4.6700473308061455E-05</v>
      </c>
      <c r="P51" s="150">
        <f t="shared" si="7"/>
        <v>0.0013551582844524674</v>
      </c>
      <c r="Q51" s="150">
        <f t="shared" si="7"/>
        <v>0.00028591623720024403</v>
      </c>
      <c r="R51" s="150">
        <f t="shared" si="7"/>
        <v>0.00030593560074547986</v>
      </c>
      <c r="S51" s="150">
        <f t="shared" si="7"/>
        <v>0</v>
      </c>
      <c r="T51" s="150">
        <f t="shared" si="7"/>
        <v>0</v>
      </c>
      <c r="U51" s="132" t="s">
        <v>189</v>
      </c>
      <c r="V51" s="134"/>
    </row>
    <row r="52" spans="13:22" ht="15.75">
      <c r="M52" s="132"/>
      <c r="N52" s="132"/>
      <c r="O52" s="132"/>
      <c r="P52" s="132"/>
      <c r="Q52" s="132"/>
      <c r="R52" s="132"/>
      <c r="S52" s="132"/>
      <c r="T52" s="132"/>
      <c r="U52" s="132"/>
      <c r="V52" s="134"/>
    </row>
    <row r="53" spans="13:22" ht="15.75">
      <c r="M53" s="135" t="s">
        <v>194</v>
      </c>
      <c r="N53" s="132"/>
      <c r="O53" s="135" t="s">
        <v>195</v>
      </c>
      <c r="P53" s="132"/>
      <c r="Q53" s="132"/>
      <c r="R53" s="132"/>
      <c r="S53" s="132"/>
      <c r="T53" s="132"/>
      <c r="U53" s="132"/>
      <c r="V53" s="134"/>
    </row>
    <row r="54" spans="13:22" ht="15.75">
      <c r="M54" s="132"/>
      <c r="N54" s="138" t="s">
        <v>78</v>
      </c>
      <c r="O54" s="148">
        <f aca="true" t="shared" si="8" ref="O54:T57">O42+O48</f>
        <v>0.00017241692229618156</v>
      </c>
      <c r="P54" s="148">
        <f t="shared" si="8"/>
        <v>0.005649667466261136</v>
      </c>
      <c r="Q54" s="148">
        <f t="shared" si="8"/>
        <v>0.0010810120269454744</v>
      </c>
      <c r="R54" s="148">
        <f t="shared" si="8"/>
        <v>0.0010781261002959248</v>
      </c>
      <c r="S54" s="148">
        <f t="shared" si="8"/>
        <v>0</v>
      </c>
      <c r="T54" s="148">
        <f t="shared" si="8"/>
        <v>0</v>
      </c>
      <c r="U54" s="132" t="s">
        <v>189</v>
      </c>
      <c r="V54" s="134"/>
    </row>
    <row r="55" spans="13:22" ht="15.75">
      <c r="M55" s="132"/>
      <c r="N55" s="138" t="s">
        <v>80</v>
      </c>
      <c r="O55" s="148">
        <f t="shared" si="8"/>
        <v>5.435394215518095E-05</v>
      </c>
      <c r="P55" s="148">
        <f t="shared" si="8"/>
        <v>0.0017457901587412672</v>
      </c>
      <c r="Q55" s="148">
        <f t="shared" si="8"/>
        <v>0.00033149511709632825</v>
      </c>
      <c r="R55" s="148">
        <f t="shared" si="8"/>
        <v>0.00037867688005611077</v>
      </c>
      <c r="S55" s="148">
        <f t="shared" si="8"/>
        <v>0</v>
      </c>
      <c r="T55" s="148">
        <f t="shared" si="8"/>
        <v>0</v>
      </c>
      <c r="U55" s="132" t="s">
        <v>189</v>
      </c>
      <c r="V55" s="134"/>
    </row>
    <row r="56" spans="13:22" ht="15.75">
      <c r="M56" s="132"/>
      <c r="N56" s="138" t="s">
        <v>81</v>
      </c>
      <c r="O56" s="148">
        <f t="shared" si="8"/>
        <v>0.00011900233873823597</v>
      </c>
      <c r="P56" s="148">
        <f t="shared" si="8"/>
        <v>0.00377421645273092</v>
      </c>
      <c r="Q56" s="148">
        <f t="shared" si="8"/>
        <v>0.0007706811469535275</v>
      </c>
      <c r="R56" s="148">
        <f t="shared" si="8"/>
        <v>0.0008768549079691379</v>
      </c>
      <c r="S56" s="148">
        <f t="shared" si="8"/>
        <v>0</v>
      </c>
      <c r="T56" s="148">
        <f t="shared" si="8"/>
        <v>0</v>
      </c>
      <c r="U56" s="132" t="s">
        <v>189</v>
      </c>
      <c r="V56" s="134"/>
    </row>
    <row r="57" spans="13:22" ht="15.75">
      <c r="M57" s="132"/>
      <c r="N57" s="138" t="s">
        <v>83</v>
      </c>
      <c r="O57" s="148">
        <f t="shared" si="8"/>
        <v>7.155198419182761E-05</v>
      </c>
      <c r="P57" s="148">
        <f t="shared" si="8"/>
        <v>0.0021029816316199897</v>
      </c>
      <c r="Q57" s="148">
        <f t="shared" si="8"/>
        <v>0.00044572125064114857</v>
      </c>
      <c r="R57" s="148">
        <f t="shared" si="8"/>
        <v>0.0005230549364827578</v>
      </c>
      <c r="S57" s="148">
        <f t="shared" si="8"/>
        <v>0</v>
      </c>
      <c r="T57" s="148">
        <f t="shared" si="8"/>
        <v>0</v>
      </c>
      <c r="U57" s="132" t="s">
        <v>189</v>
      </c>
      <c r="V57" s="134"/>
    </row>
    <row r="58" spans="13:22" ht="15.75">
      <c r="M58" s="132"/>
      <c r="N58" s="132"/>
      <c r="O58" s="132"/>
      <c r="P58" s="132"/>
      <c r="Q58" s="132"/>
      <c r="R58" s="132"/>
      <c r="S58" s="132"/>
      <c r="T58" s="132"/>
      <c r="U58" s="132"/>
      <c r="V58" s="134"/>
    </row>
    <row r="59" spans="13:22" ht="15.75">
      <c r="M59" s="135" t="s">
        <v>196</v>
      </c>
      <c r="N59" s="132"/>
      <c r="O59" s="135" t="s">
        <v>197</v>
      </c>
      <c r="P59" s="132"/>
      <c r="Q59" s="132"/>
      <c r="R59" s="132"/>
      <c r="S59" s="132"/>
      <c r="T59" s="132"/>
      <c r="U59" s="132"/>
      <c r="V59" s="134" t="s">
        <v>198</v>
      </c>
    </row>
    <row r="60" spans="13:22" ht="15.75">
      <c r="M60" s="132"/>
      <c r="N60" s="132" t="s">
        <v>199</v>
      </c>
      <c r="O60" s="132"/>
      <c r="P60" s="132"/>
      <c r="Q60" s="132"/>
      <c r="R60" s="132"/>
      <c r="S60" s="132"/>
      <c r="T60" s="132"/>
      <c r="U60" s="132"/>
      <c r="V60" s="134"/>
    </row>
    <row r="61" spans="13:22" ht="15.75">
      <c r="M61" s="132"/>
      <c r="N61" s="132" t="s">
        <v>423</v>
      </c>
      <c r="O61" s="132"/>
      <c r="P61" s="132">
        <v>0</v>
      </c>
      <c r="Q61" s="132"/>
      <c r="R61" s="132"/>
      <c r="S61" s="132"/>
      <c r="T61" s="132"/>
      <c r="U61" s="154" t="s">
        <v>200</v>
      </c>
      <c r="V61" s="134" t="s">
        <v>201</v>
      </c>
    </row>
    <row r="62" spans="13:22" ht="15.75">
      <c r="M62" s="132"/>
      <c r="N62" s="138" t="s">
        <v>78</v>
      </c>
      <c r="O62" s="132">
        <f aca="true" t="shared" si="9" ref="O62:T65">O54*100%*0*$C$48</f>
        <v>0</v>
      </c>
      <c r="P62" s="132">
        <f t="shared" si="9"/>
        <v>0</v>
      </c>
      <c r="Q62" s="132">
        <f t="shared" si="9"/>
        <v>0</v>
      </c>
      <c r="R62" s="132">
        <f t="shared" si="9"/>
        <v>0</v>
      </c>
      <c r="S62" s="132">
        <f t="shared" si="9"/>
        <v>0</v>
      </c>
      <c r="T62" s="132">
        <f t="shared" si="9"/>
        <v>0</v>
      </c>
      <c r="U62" s="132" t="s">
        <v>202</v>
      </c>
      <c r="V62" s="134"/>
    </row>
    <row r="63" spans="13:22" ht="15.75">
      <c r="M63" s="132"/>
      <c r="N63" s="138" t="s">
        <v>80</v>
      </c>
      <c r="O63" s="132">
        <f t="shared" si="9"/>
        <v>0</v>
      </c>
      <c r="P63" s="132">
        <f t="shared" si="9"/>
        <v>0</v>
      </c>
      <c r="Q63" s="132">
        <f t="shared" si="9"/>
        <v>0</v>
      </c>
      <c r="R63" s="132">
        <f t="shared" si="9"/>
        <v>0</v>
      </c>
      <c r="S63" s="132">
        <f t="shared" si="9"/>
        <v>0</v>
      </c>
      <c r="T63" s="132">
        <f t="shared" si="9"/>
        <v>0</v>
      </c>
      <c r="U63" s="132" t="s">
        <v>202</v>
      </c>
      <c r="V63" s="134"/>
    </row>
    <row r="64" spans="13:22" ht="15.75">
      <c r="M64" s="132"/>
      <c r="N64" s="138" t="s">
        <v>81</v>
      </c>
      <c r="O64" s="132">
        <f t="shared" si="9"/>
        <v>0</v>
      </c>
      <c r="P64" s="132">
        <f t="shared" si="9"/>
        <v>0</v>
      </c>
      <c r="Q64" s="132">
        <f t="shared" si="9"/>
        <v>0</v>
      </c>
      <c r="R64" s="132">
        <f t="shared" si="9"/>
        <v>0</v>
      </c>
      <c r="S64" s="132">
        <f t="shared" si="9"/>
        <v>0</v>
      </c>
      <c r="T64" s="132">
        <f t="shared" si="9"/>
        <v>0</v>
      </c>
      <c r="U64" s="132" t="s">
        <v>202</v>
      </c>
      <c r="V64" s="134"/>
    </row>
    <row r="65" spans="13:22" ht="15.75">
      <c r="M65" s="132"/>
      <c r="N65" s="138" t="s">
        <v>83</v>
      </c>
      <c r="O65" s="132">
        <f t="shared" si="9"/>
        <v>0</v>
      </c>
      <c r="P65" s="132">
        <f t="shared" si="9"/>
        <v>0</v>
      </c>
      <c r="Q65" s="132">
        <f t="shared" si="9"/>
        <v>0</v>
      </c>
      <c r="R65" s="132">
        <f t="shared" si="9"/>
        <v>0</v>
      </c>
      <c r="S65" s="132">
        <f t="shared" si="9"/>
        <v>0</v>
      </c>
      <c r="T65" s="132">
        <f t="shared" si="9"/>
        <v>0</v>
      </c>
      <c r="U65" s="132" t="s">
        <v>202</v>
      </c>
      <c r="V65" s="134"/>
    </row>
    <row r="66" spans="13:22" ht="15.75">
      <c r="M66" s="132"/>
      <c r="N66" s="132"/>
      <c r="O66" s="132"/>
      <c r="P66" s="132"/>
      <c r="Q66" s="132"/>
      <c r="R66" s="132"/>
      <c r="S66" s="132"/>
      <c r="T66" s="132"/>
      <c r="U66" s="132"/>
      <c r="V66" s="134"/>
    </row>
    <row r="67" spans="13:22" ht="15.75">
      <c r="M67" s="132"/>
      <c r="N67" s="132"/>
      <c r="O67" s="132"/>
      <c r="P67" s="132"/>
      <c r="Q67" s="132"/>
      <c r="R67" s="132"/>
      <c r="S67" s="132"/>
      <c r="T67" s="132"/>
      <c r="U67" s="132"/>
      <c r="V67" s="134"/>
    </row>
    <row r="68" spans="13:22" ht="15.75">
      <c r="M68" s="135" t="s">
        <v>139</v>
      </c>
      <c r="N68" s="132">
        <f>SUM(O62:T65)</f>
        <v>0</v>
      </c>
      <c r="O68" s="132"/>
      <c r="P68" s="132"/>
      <c r="Q68" s="132"/>
      <c r="R68" s="132"/>
      <c r="S68" s="132"/>
      <c r="T68" s="132"/>
      <c r="U68" s="154" t="s">
        <v>203</v>
      </c>
      <c r="V68" s="134"/>
    </row>
    <row r="69" spans="13:22" ht="15.75">
      <c r="M69" s="135" t="s">
        <v>139</v>
      </c>
      <c r="N69" s="132">
        <f>N68*310</f>
        <v>0</v>
      </c>
      <c r="O69" s="132"/>
      <c r="P69" s="132"/>
      <c r="Q69" s="132"/>
      <c r="R69" s="132"/>
      <c r="S69" s="132"/>
      <c r="T69" s="132"/>
      <c r="U69" s="154" t="s">
        <v>141</v>
      </c>
      <c r="V69" s="134"/>
    </row>
    <row r="70" spans="13:22" ht="15.75">
      <c r="M70" s="151" t="s">
        <v>139</v>
      </c>
      <c r="N70" s="153">
        <f>N69*10^3</f>
        <v>0</v>
      </c>
      <c r="O70" s="153"/>
      <c r="P70" s="153"/>
      <c r="Q70" s="153"/>
      <c r="R70" s="153"/>
      <c r="S70" s="153"/>
      <c r="T70" s="153"/>
      <c r="U70" s="155" t="s">
        <v>142</v>
      </c>
      <c r="V70" s="156"/>
    </row>
    <row r="71" spans="4:8" ht="15.75">
      <c r="D71" s="402"/>
      <c r="E71" s="402"/>
      <c r="F71" s="402"/>
      <c r="G71" s="402"/>
      <c r="H71" s="402"/>
    </row>
    <row r="72" spans="4:19" ht="15.75">
      <c r="D72" s="402"/>
      <c r="E72" s="402"/>
      <c r="F72" s="402"/>
      <c r="G72" s="402"/>
      <c r="H72" s="402"/>
      <c r="I72" s="402"/>
      <c r="M72" s="100"/>
      <c r="N72" s="100"/>
      <c r="O72" s="100"/>
      <c r="P72" s="100"/>
      <c r="Q72" s="100"/>
      <c r="R72" s="100"/>
      <c r="S72" s="100"/>
    </row>
    <row r="75" spans="4:9" ht="15.75">
      <c r="D75" s="157"/>
      <c r="E75" s="157"/>
      <c r="F75" s="157"/>
      <c r="G75" s="157"/>
      <c r="H75" s="157"/>
      <c r="I75" s="157"/>
    </row>
    <row r="79" spans="15:22" ht="15.75">
      <c r="O79" s="100"/>
      <c r="P79" s="100"/>
      <c r="Q79" s="100"/>
      <c r="R79" s="100"/>
      <c r="S79" s="100"/>
      <c r="T79" s="100"/>
      <c r="U79" s="100"/>
      <c r="V79" s="100"/>
    </row>
    <row r="81" spans="3:9" ht="15.75">
      <c r="C81" s="402"/>
      <c r="D81" s="402"/>
      <c r="E81" s="402"/>
      <c r="F81" s="402"/>
      <c r="G81" s="402"/>
      <c r="H81" s="402"/>
      <c r="I81" s="402"/>
    </row>
    <row r="82" spans="4:9" ht="15.75">
      <c r="D82" s="79"/>
      <c r="E82" s="79"/>
      <c r="F82" s="79"/>
      <c r="G82" s="79"/>
      <c r="H82" s="79"/>
      <c r="I82" s="79"/>
    </row>
    <row r="83" spans="4:9" ht="15.75">
      <c r="D83" s="79"/>
      <c r="E83" s="79"/>
      <c r="F83" s="79"/>
      <c r="G83" s="79"/>
      <c r="H83" s="79"/>
      <c r="I83" s="79"/>
    </row>
    <row r="137" ht="15.75">
      <c r="J137" s="158"/>
    </row>
    <row r="138" spans="3:10" ht="15.75">
      <c r="C138" s="159"/>
      <c r="D138" s="158"/>
      <c r="E138" s="158"/>
      <c r="F138" s="158"/>
      <c r="G138" s="158"/>
      <c r="H138" s="158"/>
      <c r="I138" s="158"/>
      <c r="J138" s="158"/>
    </row>
    <row r="139" spans="3:10" ht="15.75">
      <c r="C139" s="159"/>
      <c r="D139" s="158"/>
      <c r="E139" s="158"/>
      <c r="F139" s="158"/>
      <c r="G139" s="158"/>
      <c r="H139" s="158"/>
      <c r="I139" s="158"/>
      <c r="J139" s="158"/>
    </row>
    <row r="140" spans="3:10" ht="15.75">
      <c r="C140" s="159"/>
      <c r="D140" s="158"/>
      <c r="E140" s="158"/>
      <c r="F140" s="158"/>
      <c r="G140" s="158"/>
      <c r="H140" s="158"/>
      <c r="I140" s="158"/>
      <c r="J140" s="158"/>
    </row>
    <row r="141" spans="4:10" ht="15.75">
      <c r="D141" s="158"/>
      <c r="E141" s="158"/>
      <c r="F141" s="158"/>
      <c r="G141" s="158"/>
      <c r="H141" s="158"/>
      <c r="I141" s="158"/>
      <c r="J141" s="160"/>
    </row>
    <row r="142" spans="4:9" ht="15.75">
      <c r="D142" s="160"/>
      <c r="E142" s="160"/>
      <c r="F142" s="160"/>
      <c r="G142" s="160"/>
      <c r="H142" s="160"/>
      <c r="I142" s="160"/>
    </row>
  </sheetData>
  <sheetProtection sheet="1"/>
  <mergeCells count="3">
    <mergeCell ref="D71:H71"/>
    <mergeCell ref="D72:I72"/>
    <mergeCell ref="C81:I81"/>
  </mergeCells>
  <printOptions/>
  <pageMargins left="0.7500000000000001" right="0.7500000000000001" top="1" bottom="1" header="0.5" footer="0.5"/>
  <pageSetup fitToHeight="0" fitToWidth="0" orientation="portrait" paperSize="9"/>
  <legacyDrawing r:id="rId2"/>
</worksheet>
</file>

<file path=xl/worksheets/sheet7.xml><?xml version="1.0" encoding="utf-8"?>
<worksheet xmlns="http://schemas.openxmlformats.org/spreadsheetml/2006/main" xmlns:r="http://schemas.openxmlformats.org/officeDocument/2006/relationships">
  <dimension ref="A1:AJ217"/>
  <sheetViews>
    <sheetView showGridLines="0" zoomScale="80" zoomScaleNormal="80" zoomScalePageLayoutView="0" workbookViewId="0" topLeftCell="A1">
      <selection activeCell="A1" sqref="A1"/>
    </sheetView>
  </sheetViews>
  <sheetFormatPr defaultColWidth="8.8515625" defaultRowHeight="12.75"/>
  <cols>
    <col min="1" max="1" width="4.00390625" style="78" customWidth="1"/>
    <col min="2" max="2" width="36.00390625" style="78" customWidth="1"/>
    <col min="3" max="3" width="15.7109375" style="78" customWidth="1"/>
    <col min="4" max="4" width="13.421875" style="78" customWidth="1"/>
    <col min="5" max="5" width="19.7109375" style="78" customWidth="1"/>
    <col min="6" max="6" width="15.421875" style="78" customWidth="1"/>
    <col min="7" max="7" width="16.7109375" style="78" customWidth="1"/>
    <col min="8" max="8" width="12.140625" style="78" customWidth="1"/>
    <col min="9" max="9" width="18.7109375" style="78" customWidth="1"/>
    <col min="10" max="10" width="16.00390625" style="78" customWidth="1"/>
    <col min="11" max="11" width="21.57421875" style="84" customWidth="1"/>
    <col min="12" max="12" width="20.00390625" style="78" bestFit="1" customWidth="1"/>
    <col min="13" max="13" width="6.57421875" style="78" customWidth="1"/>
    <col min="14" max="14" width="13.28125" style="78" bestFit="1" customWidth="1"/>
    <col min="15" max="15" width="15.00390625" style="78" bestFit="1" customWidth="1"/>
    <col min="16" max="16" width="15.28125" style="78" bestFit="1" customWidth="1"/>
    <col min="17" max="18" width="12.7109375" style="78" bestFit="1" customWidth="1"/>
    <col min="19" max="20" width="8.8515625" style="78" customWidth="1"/>
    <col min="21" max="21" width="11.57421875" style="78" bestFit="1" customWidth="1"/>
    <col min="22" max="23" width="8.8515625" style="78" customWidth="1"/>
    <col min="24" max="24" width="15.421875" style="78" bestFit="1" customWidth="1"/>
    <col min="25" max="25" width="8.8515625" style="78" customWidth="1"/>
    <col min="26" max="16384" width="8.8515625" style="78" customWidth="1"/>
  </cols>
  <sheetData>
    <row r="1" spans="2:11" ht="30" customHeight="1">
      <c r="B1" s="82" t="s">
        <v>204</v>
      </c>
      <c r="K1" s="78"/>
    </row>
    <row r="2" ht="15.75"/>
    <row r="3" spans="2:11" ht="15.75">
      <c r="B3" s="161" t="s">
        <v>104</v>
      </c>
      <c r="C3" s="161" t="s">
        <v>205</v>
      </c>
      <c r="D3" s="162"/>
      <c r="E3" s="162"/>
      <c r="F3" s="162"/>
      <c r="G3" s="162"/>
      <c r="H3" s="162"/>
      <c r="I3" s="162"/>
      <c r="J3" s="162"/>
      <c r="K3" s="163" t="s">
        <v>418</v>
      </c>
    </row>
    <row r="4" spans="2:11" ht="15.75">
      <c r="B4" s="164"/>
      <c r="C4" s="164"/>
      <c r="D4" s="165"/>
      <c r="E4" s="164"/>
      <c r="F4" s="164"/>
      <c r="G4" s="164"/>
      <c r="H4" s="165"/>
      <c r="I4" s="164"/>
      <c r="J4" s="164"/>
      <c r="K4" s="166"/>
    </row>
    <row r="5" spans="2:11" ht="15.75">
      <c r="B5" s="167" t="s">
        <v>206</v>
      </c>
      <c r="C5" s="164" t="s">
        <v>78</v>
      </c>
      <c r="D5" s="168">
        <f>'Data input'!D59*$D$15</f>
        <v>0</v>
      </c>
      <c r="E5" s="164"/>
      <c r="F5" s="164"/>
      <c r="G5" s="164"/>
      <c r="H5" s="165"/>
      <c r="I5" s="164"/>
      <c r="J5" s="164" t="s">
        <v>102</v>
      </c>
      <c r="K5" s="166"/>
    </row>
    <row r="6" spans="2:11" ht="15.75">
      <c r="B6" s="164"/>
      <c r="C6" s="164" t="s">
        <v>80</v>
      </c>
      <c r="D6" s="168">
        <f>'Data input'!D60*$D$15</f>
        <v>0</v>
      </c>
      <c r="E6" s="164"/>
      <c r="F6" s="164"/>
      <c r="G6" s="164"/>
      <c r="H6" s="165"/>
      <c r="I6" s="164"/>
      <c r="J6" s="164" t="s">
        <v>102</v>
      </c>
      <c r="K6" s="166"/>
    </row>
    <row r="7" spans="2:11" ht="12.75" customHeight="1">
      <c r="B7" s="164"/>
      <c r="C7" s="164" t="s">
        <v>81</v>
      </c>
      <c r="D7" s="168">
        <f>'Data input'!D61*$D$15</f>
        <v>0</v>
      </c>
      <c r="E7" s="164"/>
      <c r="F7" s="164"/>
      <c r="G7" s="164"/>
      <c r="H7" s="165"/>
      <c r="I7" s="164"/>
      <c r="J7" s="164" t="s">
        <v>102</v>
      </c>
      <c r="K7" s="169"/>
    </row>
    <row r="8" spans="2:13" ht="15.75">
      <c r="B8" s="164"/>
      <c r="C8" s="164" t="s">
        <v>83</v>
      </c>
      <c r="D8" s="168">
        <f>'Data input'!D62*$D$15</f>
        <v>0</v>
      </c>
      <c r="E8" s="164"/>
      <c r="F8" s="164"/>
      <c r="G8" s="164"/>
      <c r="H8" s="164"/>
      <c r="I8" s="164"/>
      <c r="J8" s="164" t="s">
        <v>102</v>
      </c>
      <c r="K8" s="166"/>
      <c r="L8" s="170"/>
      <c r="M8" s="170"/>
    </row>
    <row r="9" spans="2:11" ht="15.75">
      <c r="B9" s="164"/>
      <c r="C9" s="164"/>
      <c r="D9" s="168"/>
      <c r="E9" s="164"/>
      <c r="F9" s="164"/>
      <c r="G9" s="164"/>
      <c r="H9" s="164"/>
      <c r="I9" s="164"/>
      <c r="J9" s="164"/>
      <c r="K9" s="166"/>
    </row>
    <row r="10" spans="2:11" ht="15.75">
      <c r="B10" s="167" t="s">
        <v>207</v>
      </c>
      <c r="C10" s="164" t="s">
        <v>78</v>
      </c>
      <c r="D10" s="168">
        <f>'Data input'!D65*$D$16</f>
        <v>0</v>
      </c>
      <c r="E10" s="164"/>
      <c r="F10" s="164"/>
      <c r="G10" s="164"/>
      <c r="H10" s="164"/>
      <c r="I10" s="164"/>
      <c r="J10" s="164" t="s">
        <v>102</v>
      </c>
      <c r="K10" s="166"/>
    </row>
    <row r="11" spans="2:11" ht="15.75">
      <c r="B11" s="164"/>
      <c r="C11" s="164" t="s">
        <v>80</v>
      </c>
      <c r="D11" s="168">
        <f>'Data input'!D66*$D$16</f>
        <v>0</v>
      </c>
      <c r="E11" s="164"/>
      <c r="F11" s="164"/>
      <c r="G11" s="164"/>
      <c r="H11" s="164"/>
      <c r="I11" s="164"/>
      <c r="J11" s="164" t="s">
        <v>102</v>
      </c>
      <c r="K11" s="166"/>
    </row>
    <row r="12" spans="1:11" ht="15.75">
      <c r="A12" s="170"/>
      <c r="B12" s="164"/>
      <c r="C12" s="164" t="s">
        <v>81</v>
      </c>
      <c r="D12" s="168">
        <f>'Data input'!D67*$D$16</f>
        <v>0</v>
      </c>
      <c r="E12" s="164"/>
      <c r="F12" s="164"/>
      <c r="G12" s="164"/>
      <c r="H12" s="164"/>
      <c r="I12" s="164"/>
      <c r="J12" s="164" t="s">
        <v>102</v>
      </c>
      <c r="K12" s="166"/>
    </row>
    <row r="13" spans="2:17" ht="15.75">
      <c r="B13" s="164"/>
      <c r="C13" s="164" t="s">
        <v>83</v>
      </c>
      <c r="D13" s="168">
        <f>'Data input'!D68*$D$16</f>
        <v>0</v>
      </c>
      <c r="E13" s="164"/>
      <c r="F13" s="164"/>
      <c r="G13" s="164"/>
      <c r="H13" s="164"/>
      <c r="I13" s="164"/>
      <c r="J13" s="164" t="s">
        <v>102</v>
      </c>
      <c r="K13" s="166"/>
      <c r="L13" s="170"/>
      <c r="M13" s="170"/>
      <c r="N13" s="170"/>
      <c r="O13" s="170"/>
      <c r="Q13" s="171"/>
    </row>
    <row r="14" spans="2:11" ht="15.75">
      <c r="B14" s="172"/>
      <c r="C14" s="164"/>
      <c r="D14" s="164"/>
      <c r="E14" s="164"/>
      <c r="F14" s="164"/>
      <c r="G14" s="164"/>
      <c r="H14" s="164"/>
      <c r="I14" s="164"/>
      <c r="J14" s="164"/>
      <c r="K14" s="166"/>
    </row>
    <row r="15" spans="2:11" ht="15.75">
      <c r="B15" s="167" t="s">
        <v>60</v>
      </c>
      <c r="C15" s="164"/>
      <c r="D15" s="164">
        <f>'Data input'!C56</f>
        <v>0</v>
      </c>
      <c r="E15" s="164"/>
      <c r="F15" s="164"/>
      <c r="G15" s="164"/>
      <c r="H15" s="164"/>
      <c r="I15" s="164"/>
      <c r="J15" s="164"/>
      <c r="K15" s="166"/>
    </row>
    <row r="16" spans="2:11" ht="15.75">
      <c r="B16" s="167" t="s">
        <v>57</v>
      </c>
      <c r="C16" s="164"/>
      <c r="D16" s="164">
        <f>'Data input'!C57</f>
        <v>1400</v>
      </c>
      <c r="E16" s="164"/>
      <c r="F16" s="164"/>
      <c r="G16" s="164"/>
      <c r="H16" s="164"/>
      <c r="I16" s="164"/>
      <c r="J16" s="164"/>
      <c r="K16" s="166"/>
    </row>
    <row r="17" spans="2:11" ht="15.75">
      <c r="B17" s="167" t="s">
        <v>193</v>
      </c>
      <c r="C17" s="164"/>
      <c r="D17" s="173">
        <f>44/28</f>
        <v>1.5714285714285714</v>
      </c>
      <c r="E17" s="164"/>
      <c r="F17" s="164"/>
      <c r="G17" s="164"/>
      <c r="H17" s="164"/>
      <c r="I17" s="164"/>
      <c r="J17" s="164"/>
      <c r="K17" s="166"/>
    </row>
    <row r="18" spans="2:11" ht="15.75">
      <c r="B18" s="174"/>
      <c r="C18" s="174"/>
      <c r="D18" s="174"/>
      <c r="E18" s="174"/>
      <c r="F18" s="174"/>
      <c r="G18" s="174"/>
      <c r="H18" s="174"/>
      <c r="I18" s="174"/>
      <c r="J18" s="174"/>
      <c r="K18" s="166"/>
    </row>
    <row r="19" spans="2:12" ht="15.75">
      <c r="B19" s="175"/>
      <c r="C19" s="176"/>
      <c r="D19" s="176"/>
      <c r="E19" s="176"/>
      <c r="F19" s="176"/>
      <c r="G19" s="176"/>
      <c r="H19" s="176"/>
      <c r="I19" s="176"/>
      <c r="J19" s="176"/>
      <c r="K19" s="166"/>
      <c r="L19" s="106"/>
    </row>
    <row r="20" spans="2:11" ht="15.75">
      <c r="B20" s="167" t="s">
        <v>208</v>
      </c>
      <c r="C20" s="164"/>
      <c r="D20" s="164"/>
      <c r="E20" s="164"/>
      <c r="F20" s="164"/>
      <c r="G20" s="164"/>
      <c r="H20" s="164"/>
      <c r="I20" s="164"/>
      <c r="J20" s="164"/>
      <c r="K20" s="166"/>
    </row>
    <row r="21" spans="1:12" ht="15.75">
      <c r="A21" s="170"/>
      <c r="B21" s="167" t="s">
        <v>209</v>
      </c>
      <c r="C21" s="164"/>
      <c r="D21" s="164"/>
      <c r="E21" s="167" t="s">
        <v>210</v>
      </c>
      <c r="F21" s="164"/>
      <c r="G21" s="164"/>
      <c r="H21" s="164"/>
      <c r="I21" s="164"/>
      <c r="J21" s="164"/>
      <c r="K21" s="169" t="s">
        <v>211</v>
      </c>
      <c r="L21" s="79"/>
    </row>
    <row r="22" spans="2:18" ht="15.75">
      <c r="B22" s="164"/>
      <c r="C22" s="164"/>
      <c r="D22" s="164"/>
      <c r="E22" s="164" t="s">
        <v>212</v>
      </c>
      <c r="F22" s="164"/>
      <c r="G22" s="164"/>
      <c r="H22" s="164"/>
      <c r="I22" s="164"/>
      <c r="J22" s="164" t="s">
        <v>213</v>
      </c>
      <c r="K22" s="169"/>
      <c r="L22" s="79"/>
      <c r="O22" s="170"/>
      <c r="R22" s="170"/>
    </row>
    <row r="23" spans="2:16" ht="15.75">
      <c r="B23" s="172"/>
      <c r="C23" s="164"/>
      <c r="D23" s="164"/>
      <c r="E23" s="164" t="s">
        <v>214</v>
      </c>
      <c r="F23" s="164"/>
      <c r="G23" s="164"/>
      <c r="H23" s="164"/>
      <c r="I23" s="164"/>
      <c r="J23" s="164"/>
      <c r="K23" s="169" t="s">
        <v>215</v>
      </c>
      <c r="L23" s="177"/>
      <c r="P23" s="170"/>
    </row>
    <row r="24" spans="2:12" ht="15.75">
      <c r="B24" s="172"/>
      <c r="C24" s="164"/>
      <c r="D24" s="164"/>
      <c r="E24" s="164"/>
      <c r="F24" s="164"/>
      <c r="G24" s="164"/>
      <c r="H24" s="164"/>
      <c r="I24" s="164"/>
      <c r="J24" s="164"/>
      <c r="K24" s="169"/>
      <c r="L24" s="79"/>
    </row>
    <row r="25" spans="2:12" ht="15.75">
      <c r="B25" s="164" t="s">
        <v>216</v>
      </c>
      <c r="C25" s="164" t="s">
        <v>78</v>
      </c>
      <c r="D25" s="164">
        <f>D5*10^-6*1</f>
        <v>0</v>
      </c>
      <c r="E25" s="164"/>
      <c r="F25" s="164"/>
      <c r="G25" s="164"/>
      <c r="H25" s="164"/>
      <c r="I25" s="164"/>
      <c r="J25" s="164" t="s">
        <v>217</v>
      </c>
      <c r="K25" s="169"/>
      <c r="L25" s="79"/>
    </row>
    <row r="26" spans="2:12" ht="15.75">
      <c r="B26" s="164"/>
      <c r="C26" s="164" t="s">
        <v>80</v>
      </c>
      <c r="D26" s="164">
        <f>D6*10^-6*1</f>
        <v>0</v>
      </c>
      <c r="E26" s="164"/>
      <c r="F26" s="164"/>
      <c r="G26" s="164"/>
      <c r="H26" s="164"/>
      <c r="I26" s="164"/>
      <c r="J26" s="164" t="s">
        <v>217</v>
      </c>
      <c r="K26" s="169"/>
      <c r="L26" s="79"/>
    </row>
    <row r="27" spans="2:12" ht="15.75">
      <c r="B27" s="164"/>
      <c r="C27" s="164" t="s">
        <v>81</v>
      </c>
      <c r="D27" s="164">
        <f>D7*10^-6*1</f>
        <v>0</v>
      </c>
      <c r="E27" s="164"/>
      <c r="F27" s="164"/>
      <c r="G27" s="164"/>
      <c r="H27" s="164"/>
      <c r="I27" s="164"/>
      <c r="J27" s="164" t="s">
        <v>217</v>
      </c>
      <c r="K27" s="169"/>
      <c r="L27" s="79"/>
    </row>
    <row r="28" spans="2:12" ht="15.75">
      <c r="B28" s="164"/>
      <c r="C28" s="164" t="s">
        <v>83</v>
      </c>
      <c r="D28" s="164">
        <f>D8*10^-6*1</f>
        <v>0</v>
      </c>
      <c r="E28" s="164"/>
      <c r="F28" s="164"/>
      <c r="G28" s="164"/>
      <c r="H28" s="164"/>
      <c r="I28" s="164"/>
      <c r="J28" s="164" t="s">
        <v>217</v>
      </c>
      <c r="K28" s="169"/>
      <c r="L28" s="79"/>
    </row>
    <row r="29" spans="2:11" ht="15.75">
      <c r="B29" s="164"/>
      <c r="C29" s="164"/>
      <c r="D29" s="164"/>
      <c r="E29" s="164"/>
      <c r="F29" s="164"/>
      <c r="G29" s="164"/>
      <c r="H29" s="164"/>
      <c r="I29" s="164"/>
      <c r="J29" s="164"/>
      <c r="K29" s="169"/>
    </row>
    <row r="30" spans="1:11" ht="15.75">
      <c r="A30" s="170"/>
      <c r="B30" s="164" t="s">
        <v>218</v>
      </c>
      <c r="C30" s="164" t="s">
        <v>78</v>
      </c>
      <c r="D30" s="164">
        <f>D10*10^-6*1</f>
        <v>0</v>
      </c>
      <c r="E30" s="164"/>
      <c r="F30" s="164"/>
      <c r="G30" s="164"/>
      <c r="H30" s="164"/>
      <c r="I30" s="164"/>
      <c r="J30" s="164" t="s">
        <v>217</v>
      </c>
      <c r="K30" s="169"/>
    </row>
    <row r="31" spans="2:11" ht="15.75">
      <c r="B31" s="164"/>
      <c r="C31" s="164" t="s">
        <v>80</v>
      </c>
      <c r="D31" s="164">
        <f>D11*10^-6*1</f>
        <v>0</v>
      </c>
      <c r="E31" s="164"/>
      <c r="F31" s="164"/>
      <c r="G31" s="164"/>
      <c r="H31" s="164"/>
      <c r="I31" s="164"/>
      <c r="J31" s="164" t="s">
        <v>217</v>
      </c>
      <c r="K31" s="166"/>
    </row>
    <row r="32" spans="2:11" ht="15.75">
      <c r="B32" s="164"/>
      <c r="C32" s="164" t="s">
        <v>81</v>
      </c>
      <c r="D32" s="164">
        <f>D12*10^-6*1</f>
        <v>0</v>
      </c>
      <c r="E32" s="164"/>
      <c r="F32" s="164"/>
      <c r="G32" s="164"/>
      <c r="H32" s="164"/>
      <c r="I32" s="164"/>
      <c r="J32" s="164" t="s">
        <v>217</v>
      </c>
      <c r="K32" s="166"/>
    </row>
    <row r="33" spans="2:11" ht="15.75">
      <c r="B33" s="164"/>
      <c r="C33" s="164" t="s">
        <v>83</v>
      </c>
      <c r="D33" s="164">
        <f>D13*10^-6*1</f>
        <v>0</v>
      </c>
      <c r="E33" s="164"/>
      <c r="F33" s="164"/>
      <c r="G33" s="164"/>
      <c r="H33" s="164"/>
      <c r="I33" s="164"/>
      <c r="J33" s="164" t="s">
        <v>217</v>
      </c>
      <c r="K33" s="166"/>
    </row>
    <row r="34" spans="2:11" ht="15.75">
      <c r="B34" s="172"/>
      <c r="C34" s="164"/>
      <c r="D34" s="164"/>
      <c r="E34" s="164"/>
      <c r="F34" s="164"/>
      <c r="G34" s="164"/>
      <c r="H34" s="164"/>
      <c r="I34" s="164"/>
      <c r="J34" s="164"/>
      <c r="K34" s="166"/>
    </row>
    <row r="35" spans="2:15" ht="15.75">
      <c r="B35" s="167" t="s">
        <v>219</v>
      </c>
      <c r="C35" s="164"/>
      <c r="D35" s="164"/>
      <c r="E35" s="167" t="s">
        <v>220</v>
      </c>
      <c r="F35" s="164"/>
      <c r="G35" s="164"/>
      <c r="H35" s="164"/>
      <c r="I35" s="164"/>
      <c r="J35" s="164"/>
      <c r="K35" s="166"/>
      <c r="L35" s="170"/>
      <c r="M35" s="170"/>
      <c r="O35" s="170"/>
    </row>
    <row r="36" spans="2:13" ht="15.75">
      <c r="B36" s="164"/>
      <c r="C36" s="164"/>
      <c r="D36" s="164"/>
      <c r="E36" s="164" t="s">
        <v>221</v>
      </c>
      <c r="F36" s="164"/>
      <c r="G36" s="164"/>
      <c r="H36" s="164"/>
      <c r="I36" s="164"/>
      <c r="J36" s="164" t="s">
        <v>222</v>
      </c>
      <c r="K36" s="166" t="s">
        <v>223</v>
      </c>
      <c r="M36" s="170"/>
    </row>
    <row r="37" spans="2:12" ht="15.75">
      <c r="B37" s="178"/>
      <c r="C37" s="164"/>
      <c r="D37" s="164"/>
      <c r="E37" s="164"/>
      <c r="F37" s="164"/>
      <c r="G37" s="164"/>
      <c r="H37" s="164"/>
      <c r="I37" s="164"/>
      <c r="J37" s="164"/>
      <c r="K37" s="166"/>
      <c r="L37" s="179"/>
    </row>
    <row r="38" spans="2:12" ht="15.75">
      <c r="B38" s="180" t="s">
        <v>224</v>
      </c>
      <c r="C38" s="181" t="s">
        <v>225</v>
      </c>
      <c r="D38" s="164"/>
      <c r="E38" s="182" t="s">
        <v>216</v>
      </c>
      <c r="F38" s="174" t="s">
        <v>78</v>
      </c>
      <c r="G38" s="174">
        <f>D25*0.003*$D$17</f>
        <v>0</v>
      </c>
      <c r="H38" s="183"/>
      <c r="I38" s="164"/>
      <c r="J38" s="164" t="s">
        <v>226</v>
      </c>
      <c r="K38" s="166"/>
      <c r="L38" s="179"/>
    </row>
    <row r="39" spans="2:11" ht="15.75">
      <c r="B39" s="184" t="s">
        <v>227</v>
      </c>
      <c r="C39" s="185">
        <v>0.004</v>
      </c>
      <c r="D39" s="164"/>
      <c r="E39" s="184"/>
      <c r="F39" s="164" t="s">
        <v>80</v>
      </c>
      <c r="G39" s="164">
        <f>D26*0.003*$D$17</f>
        <v>0</v>
      </c>
      <c r="H39" s="185"/>
      <c r="I39" s="164"/>
      <c r="J39" s="164" t="s">
        <v>226</v>
      </c>
      <c r="K39" s="166"/>
    </row>
    <row r="40" spans="2:13" ht="15.75">
      <c r="B40" s="184" t="s">
        <v>228</v>
      </c>
      <c r="C40" s="185">
        <v>0.021</v>
      </c>
      <c r="D40" s="164"/>
      <c r="E40" s="184"/>
      <c r="F40" s="164" t="s">
        <v>81</v>
      </c>
      <c r="G40" s="164">
        <f>D27*0.003*$D$17</f>
        <v>0</v>
      </c>
      <c r="H40" s="185"/>
      <c r="I40" s="164"/>
      <c r="J40" s="164" t="s">
        <v>226</v>
      </c>
      <c r="K40" s="166"/>
      <c r="L40" s="179"/>
      <c r="M40" s="33"/>
    </row>
    <row r="41" spans="2:12" ht="15.75">
      <c r="B41" s="186" t="s">
        <v>229</v>
      </c>
      <c r="C41" s="187">
        <v>0.004</v>
      </c>
      <c r="D41" s="164"/>
      <c r="E41" s="184"/>
      <c r="F41" s="164" t="s">
        <v>83</v>
      </c>
      <c r="G41" s="164">
        <f>D28*0.003*$D$17</f>
        <v>0</v>
      </c>
      <c r="H41" s="185"/>
      <c r="I41" s="164"/>
      <c r="J41" s="164" t="s">
        <v>226</v>
      </c>
      <c r="K41" s="166"/>
      <c r="L41" s="179"/>
    </row>
    <row r="42" spans="2:11" ht="15.75">
      <c r="B42" s="186" t="s">
        <v>230</v>
      </c>
      <c r="C42" s="187">
        <v>0.003</v>
      </c>
      <c r="D42" s="164"/>
      <c r="E42" s="184"/>
      <c r="F42" s="164" t="s">
        <v>231</v>
      </c>
      <c r="G42" s="164">
        <f>SUM(G38:G41)</f>
        <v>0</v>
      </c>
      <c r="H42" s="185"/>
      <c r="I42" s="164"/>
      <c r="J42" s="164" t="s">
        <v>232</v>
      </c>
      <c r="K42" s="166"/>
    </row>
    <row r="43" spans="2:11" ht="15.75">
      <c r="B43" s="184" t="s">
        <v>233</v>
      </c>
      <c r="C43" s="185">
        <v>0.0125</v>
      </c>
      <c r="D43" s="164"/>
      <c r="E43" s="184"/>
      <c r="F43" s="164"/>
      <c r="G43" s="164"/>
      <c r="H43" s="185"/>
      <c r="I43" s="164"/>
      <c r="J43" s="164"/>
      <c r="K43" s="166"/>
    </row>
    <row r="44" spans="2:12" ht="15.75">
      <c r="B44" s="184" t="s">
        <v>234</v>
      </c>
      <c r="C44" s="185">
        <v>0.005</v>
      </c>
      <c r="D44" s="164"/>
      <c r="E44" s="186" t="s">
        <v>218</v>
      </c>
      <c r="F44" s="164" t="s">
        <v>78</v>
      </c>
      <c r="G44" s="164">
        <f>D30*0.004*$D$17</f>
        <v>0</v>
      </c>
      <c r="H44" s="185"/>
      <c r="I44" s="164"/>
      <c r="J44" s="164" t="s">
        <v>226</v>
      </c>
      <c r="K44" s="166"/>
      <c r="L44" s="80"/>
    </row>
    <row r="45" spans="2:11" ht="15.75">
      <c r="B45" s="188" t="s">
        <v>235</v>
      </c>
      <c r="C45" s="189">
        <v>0.021</v>
      </c>
      <c r="D45" s="164"/>
      <c r="E45" s="184"/>
      <c r="F45" s="164" t="s">
        <v>80</v>
      </c>
      <c r="G45" s="164">
        <f>D31*0.004*$D$17</f>
        <v>0</v>
      </c>
      <c r="H45" s="185"/>
      <c r="I45" s="164"/>
      <c r="J45" s="164" t="s">
        <v>226</v>
      </c>
      <c r="K45" s="166"/>
    </row>
    <row r="46" spans="2:11" ht="15.75">
      <c r="B46" s="164"/>
      <c r="C46" s="164"/>
      <c r="D46" s="164"/>
      <c r="E46" s="184"/>
      <c r="F46" s="164" t="s">
        <v>81</v>
      </c>
      <c r="G46" s="164">
        <f>D32*0.004*$D$17</f>
        <v>0</v>
      </c>
      <c r="H46" s="185"/>
      <c r="I46" s="164"/>
      <c r="J46" s="164" t="s">
        <v>226</v>
      </c>
      <c r="K46" s="166"/>
    </row>
    <row r="47" spans="2:11" ht="15.75">
      <c r="B47" s="164"/>
      <c r="C47" s="164"/>
      <c r="D47" s="164"/>
      <c r="E47" s="184"/>
      <c r="F47" s="164" t="s">
        <v>83</v>
      </c>
      <c r="G47" s="164">
        <f>D33*0.004*$D$17</f>
        <v>0</v>
      </c>
      <c r="H47" s="185"/>
      <c r="I47" s="164"/>
      <c r="J47" s="164" t="s">
        <v>226</v>
      </c>
      <c r="K47" s="166"/>
    </row>
    <row r="48" spans="2:36" ht="15.75">
      <c r="B48" s="164"/>
      <c r="C48" s="164"/>
      <c r="D48" s="164"/>
      <c r="E48" s="188"/>
      <c r="F48" s="176" t="s">
        <v>231</v>
      </c>
      <c r="G48" s="176">
        <f>SUM(G44:G47)</f>
        <v>0</v>
      </c>
      <c r="H48" s="189"/>
      <c r="I48" s="164"/>
      <c r="J48" s="164" t="s">
        <v>232</v>
      </c>
      <c r="K48" s="166"/>
      <c r="S48" s="33"/>
      <c r="T48" s="33"/>
      <c r="U48" s="33"/>
      <c r="V48" s="33"/>
      <c r="W48" s="33"/>
      <c r="X48" s="33"/>
      <c r="Y48" s="33"/>
      <c r="Z48" s="33"/>
      <c r="AA48" s="33"/>
      <c r="AB48" s="33"/>
      <c r="AC48" s="33"/>
      <c r="AD48" s="33"/>
      <c r="AE48" s="33"/>
      <c r="AF48" s="33"/>
      <c r="AG48" s="33"/>
      <c r="AH48" s="33"/>
      <c r="AI48" s="33"/>
      <c r="AJ48" s="33"/>
    </row>
    <row r="49" spans="2:11" s="33" customFormat="1" ht="15.75">
      <c r="B49" s="164"/>
      <c r="C49" s="164"/>
      <c r="D49" s="164"/>
      <c r="E49" s="164"/>
      <c r="F49" s="164"/>
      <c r="G49" s="164"/>
      <c r="H49" s="164"/>
      <c r="I49" s="164"/>
      <c r="J49" s="164"/>
      <c r="K49" s="166"/>
    </row>
    <row r="50" spans="2:11" s="33" customFormat="1" ht="15.75">
      <c r="B50" s="167" t="s">
        <v>236</v>
      </c>
      <c r="C50" s="164"/>
      <c r="D50" s="164">
        <f>G42+G48</f>
        <v>0</v>
      </c>
      <c r="E50" s="164"/>
      <c r="F50" s="164"/>
      <c r="G50" s="164"/>
      <c r="H50" s="164"/>
      <c r="I50" s="164"/>
      <c r="J50" s="164" t="s">
        <v>203</v>
      </c>
      <c r="K50" s="166"/>
    </row>
    <row r="51" spans="2:11" s="33" customFormat="1" ht="15.75">
      <c r="B51" s="167" t="s">
        <v>236</v>
      </c>
      <c r="C51" s="164"/>
      <c r="D51" s="164">
        <f>D50*310</f>
        <v>0</v>
      </c>
      <c r="E51" s="164"/>
      <c r="F51" s="164"/>
      <c r="G51" s="164"/>
      <c r="H51" s="164"/>
      <c r="I51" s="164"/>
      <c r="J51" s="164" t="s">
        <v>141</v>
      </c>
      <c r="K51" s="166"/>
    </row>
    <row r="52" spans="2:17" s="33" customFormat="1" ht="15.75">
      <c r="B52" s="167" t="s">
        <v>236</v>
      </c>
      <c r="C52" s="164"/>
      <c r="D52" s="164">
        <f>D51*10^3</f>
        <v>0</v>
      </c>
      <c r="E52" s="164"/>
      <c r="F52" s="164"/>
      <c r="G52" s="164"/>
      <c r="H52" s="164"/>
      <c r="I52" s="164"/>
      <c r="J52" s="164" t="s">
        <v>142</v>
      </c>
      <c r="K52" s="166"/>
      <c r="N52" s="171"/>
      <c r="O52" s="171"/>
      <c r="Q52" s="171"/>
    </row>
    <row r="53" spans="2:24" s="33" customFormat="1" ht="15.75">
      <c r="B53" s="164"/>
      <c r="C53" s="164"/>
      <c r="D53" s="164"/>
      <c r="E53" s="164"/>
      <c r="F53" s="164"/>
      <c r="G53" s="164"/>
      <c r="H53" s="164"/>
      <c r="I53" s="164"/>
      <c r="J53" s="164"/>
      <c r="K53" s="166"/>
      <c r="O53" s="171"/>
      <c r="X53" s="190"/>
    </row>
    <row r="54" spans="2:24" s="33" customFormat="1" ht="15.75">
      <c r="B54" s="164"/>
      <c r="C54" s="164"/>
      <c r="D54" s="164"/>
      <c r="E54" s="164"/>
      <c r="F54" s="164"/>
      <c r="G54" s="164"/>
      <c r="H54" s="164"/>
      <c r="I54" s="164"/>
      <c r="J54" s="164"/>
      <c r="K54" s="166"/>
      <c r="X54" s="190"/>
    </row>
    <row r="55" spans="2:24" s="33" customFormat="1" ht="15.75">
      <c r="B55" s="182" t="s">
        <v>237</v>
      </c>
      <c r="C55" s="174"/>
      <c r="D55" s="174"/>
      <c r="E55" s="191" t="s">
        <v>238</v>
      </c>
      <c r="F55" s="174"/>
      <c r="G55" s="174"/>
      <c r="H55" s="174"/>
      <c r="I55" s="174"/>
      <c r="J55" s="174"/>
      <c r="K55" s="192" t="s">
        <v>239</v>
      </c>
      <c r="X55" s="190"/>
    </row>
    <row r="56" spans="2:24" s="33" customFormat="1" ht="15.75">
      <c r="B56" s="186" t="s">
        <v>240</v>
      </c>
      <c r="C56" s="164"/>
      <c r="D56" s="164"/>
      <c r="E56" s="164" t="s">
        <v>241</v>
      </c>
      <c r="F56" s="164"/>
      <c r="G56" s="164">
        <f>0</f>
        <v>0</v>
      </c>
      <c r="H56" s="164"/>
      <c r="I56" s="164"/>
      <c r="J56" s="164"/>
      <c r="K56" s="193"/>
      <c r="X56" s="190"/>
    </row>
    <row r="57" spans="2:24" s="33" customFormat="1" ht="15.75">
      <c r="B57" s="184"/>
      <c r="C57" s="172"/>
      <c r="D57" s="164"/>
      <c r="E57" s="164"/>
      <c r="F57" s="164"/>
      <c r="G57" s="164"/>
      <c r="H57" s="164"/>
      <c r="I57" s="164"/>
      <c r="J57" s="164"/>
      <c r="K57" s="194"/>
      <c r="X57" s="195"/>
    </row>
    <row r="58" spans="2:24" s="33" customFormat="1" ht="15.75">
      <c r="B58" s="184"/>
      <c r="C58" s="172"/>
      <c r="D58" s="164"/>
      <c r="E58" s="164"/>
      <c r="F58" s="164"/>
      <c r="G58" s="164"/>
      <c r="H58" s="164"/>
      <c r="I58" s="164"/>
      <c r="J58" s="164"/>
      <c r="K58" s="194"/>
      <c r="X58" s="195"/>
    </row>
    <row r="59" spans="2:24" s="33" customFormat="1" ht="15.75">
      <c r="B59" s="188" t="s">
        <v>242</v>
      </c>
      <c r="C59" s="175"/>
      <c r="D59" s="176"/>
      <c r="E59" s="196" t="s">
        <v>243</v>
      </c>
      <c r="F59" s="176"/>
      <c r="G59" s="176">
        <f>0</f>
        <v>0</v>
      </c>
      <c r="H59" s="176"/>
      <c r="I59" s="176"/>
      <c r="J59" s="176"/>
      <c r="K59" s="197" t="s">
        <v>244</v>
      </c>
      <c r="X59" s="195"/>
    </row>
    <row r="60" spans="2:24" s="33" customFormat="1" ht="15.75">
      <c r="B60" s="164"/>
      <c r="C60" s="164"/>
      <c r="D60" s="164"/>
      <c r="E60" s="164"/>
      <c r="F60" s="164"/>
      <c r="G60" s="164"/>
      <c r="H60" s="164"/>
      <c r="I60" s="164"/>
      <c r="J60" s="164"/>
      <c r="K60" s="166"/>
      <c r="X60" s="195"/>
    </row>
    <row r="61" spans="2:11" s="33" customFormat="1" ht="15.75">
      <c r="B61" s="164"/>
      <c r="C61" s="164"/>
      <c r="D61" s="164"/>
      <c r="E61" s="164"/>
      <c r="F61" s="164"/>
      <c r="G61" s="164"/>
      <c r="H61" s="164"/>
      <c r="I61" s="164"/>
      <c r="J61" s="164"/>
      <c r="K61" s="166"/>
    </row>
    <row r="62" spans="2:24" s="33" customFormat="1" ht="15.75">
      <c r="B62" s="167" t="s">
        <v>245</v>
      </c>
      <c r="C62" s="164"/>
      <c r="D62" s="164"/>
      <c r="E62" s="167" t="s">
        <v>246</v>
      </c>
      <c r="F62" s="164"/>
      <c r="G62" s="164"/>
      <c r="H62" s="164"/>
      <c r="I62" s="164"/>
      <c r="J62" s="164"/>
      <c r="K62" s="166" t="s">
        <v>247</v>
      </c>
      <c r="X62" s="198"/>
    </row>
    <row r="63" spans="2:11" s="33" customFormat="1" ht="15.75">
      <c r="B63" s="164"/>
      <c r="C63" s="164"/>
      <c r="D63" s="164"/>
      <c r="E63" s="164" t="s">
        <v>248</v>
      </c>
      <c r="F63" s="164"/>
      <c r="G63" s="164"/>
      <c r="H63" s="164"/>
      <c r="I63" s="164"/>
      <c r="J63" s="199" t="s">
        <v>213</v>
      </c>
      <c r="K63" s="200" t="s">
        <v>249</v>
      </c>
    </row>
    <row r="64" spans="2:11" s="33" customFormat="1" ht="15.75">
      <c r="B64" s="164"/>
      <c r="C64" s="164"/>
      <c r="D64" s="164"/>
      <c r="E64" s="164" t="s">
        <v>250</v>
      </c>
      <c r="F64" s="164"/>
      <c r="G64" s="164"/>
      <c r="H64" s="164"/>
      <c r="I64" s="164"/>
      <c r="J64" s="199" t="s">
        <v>251</v>
      </c>
      <c r="K64" s="166"/>
    </row>
    <row r="65" spans="2:11" s="33" customFormat="1" ht="15.75">
      <c r="B65" s="164"/>
      <c r="C65" s="164"/>
      <c r="D65" s="164"/>
      <c r="E65" s="164" t="s">
        <v>252</v>
      </c>
      <c r="F65" s="164"/>
      <c r="G65" s="164"/>
      <c r="H65" s="164"/>
      <c r="I65" s="164"/>
      <c r="J65" s="164" t="s">
        <v>253</v>
      </c>
      <c r="K65" s="166"/>
    </row>
    <row r="66" spans="2:11" s="33" customFormat="1" ht="15.75">
      <c r="B66" s="164"/>
      <c r="C66" s="164"/>
      <c r="D66" s="164"/>
      <c r="E66" s="164" t="s">
        <v>254</v>
      </c>
      <c r="F66" s="164"/>
      <c r="G66" s="164"/>
      <c r="H66" s="164"/>
      <c r="I66" s="164"/>
      <c r="J66" s="164" t="s">
        <v>255</v>
      </c>
      <c r="K66" s="166"/>
    </row>
    <row r="67" spans="2:11" s="33" customFormat="1" ht="15.75">
      <c r="B67" s="164"/>
      <c r="C67" s="164"/>
      <c r="D67" s="164"/>
      <c r="E67" s="164" t="s">
        <v>256</v>
      </c>
      <c r="F67" s="164"/>
      <c r="G67" s="164"/>
      <c r="H67" s="164"/>
      <c r="I67" s="164"/>
      <c r="J67" s="164"/>
      <c r="K67" s="166"/>
    </row>
    <row r="68" spans="2:11" s="33" customFormat="1" ht="15.75">
      <c r="B68" s="164"/>
      <c r="C68" s="164"/>
      <c r="D68" s="164"/>
      <c r="E68" s="164" t="s">
        <v>257</v>
      </c>
      <c r="F68" s="164"/>
      <c r="G68" s="164"/>
      <c r="H68" s="164"/>
      <c r="I68" s="164"/>
      <c r="J68" s="164"/>
      <c r="K68" s="166"/>
    </row>
    <row r="69" spans="2:11" s="33" customFormat="1" ht="15.75">
      <c r="B69" s="164"/>
      <c r="C69" s="164"/>
      <c r="D69" s="164"/>
      <c r="E69" s="164"/>
      <c r="F69" s="164"/>
      <c r="G69" s="164"/>
      <c r="H69" s="164"/>
      <c r="I69" s="164"/>
      <c r="J69" s="164"/>
      <c r="K69" s="166"/>
    </row>
    <row r="70" spans="2:11" s="33" customFormat="1" ht="15.75">
      <c r="B70" s="167" t="s">
        <v>258</v>
      </c>
      <c r="C70" s="164"/>
      <c r="D70" s="164"/>
      <c r="E70" s="167" t="s">
        <v>259</v>
      </c>
      <c r="F70" s="164"/>
      <c r="G70" s="164"/>
      <c r="H70" s="164"/>
      <c r="I70" s="164"/>
      <c r="J70" s="164" t="s">
        <v>260</v>
      </c>
      <c r="K70" s="166" t="s">
        <v>261</v>
      </c>
    </row>
    <row r="71" spans="2:11" s="33" customFormat="1" ht="15.75">
      <c r="B71" s="164"/>
      <c r="C71" s="164"/>
      <c r="D71" s="164"/>
      <c r="E71" s="164" t="s">
        <v>262</v>
      </c>
      <c r="F71" s="164"/>
      <c r="G71" s="164"/>
      <c r="H71" s="164"/>
      <c r="I71" s="164"/>
      <c r="J71" s="164" t="s">
        <v>222</v>
      </c>
      <c r="K71" s="200" t="s">
        <v>249</v>
      </c>
    </row>
    <row r="72" spans="2:11" s="33" customFormat="1" ht="15.75">
      <c r="B72" s="164"/>
      <c r="C72" s="164"/>
      <c r="D72" s="164"/>
      <c r="E72" s="164"/>
      <c r="F72" s="164"/>
      <c r="G72" s="164"/>
      <c r="H72" s="164"/>
      <c r="I72" s="164"/>
      <c r="J72" s="164"/>
      <c r="K72" s="166"/>
    </row>
    <row r="73" spans="2:11" s="33" customFormat="1" ht="15.75">
      <c r="B73" s="164"/>
      <c r="C73" s="164"/>
      <c r="D73" s="164"/>
      <c r="E73" s="164"/>
      <c r="F73" s="164"/>
      <c r="G73" s="164"/>
      <c r="H73" s="164"/>
      <c r="I73" s="164"/>
      <c r="J73" s="164"/>
      <c r="K73" s="166"/>
    </row>
    <row r="74" spans="2:11" s="33" customFormat="1" ht="15.75">
      <c r="B74" s="164" t="s">
        <v>263</v>
      </c>
      <c r="C74" s="164"/>
      <c r="D74" s="164"/>
      <c r="E74" s="164"/>
      <c r="F74" s="164"/>
      <c r="G74" s="164"/>
      <c r="H74" s="164"/>
      <c r="I74" s="164"/>
      <c r="J74" s="164"/>
      <c r="K74" s="166"/>
    </row>
    <row r="75" spans="2:18" s="33" customFormat="1" ht="15.75">
      <c r="B75" s="167" t="s">
        <v>264</v>
      </c>
      <c r="C75" s="164"/>
      <c r="D75" s="164"/>
      <c r="E75" s="167" t="s">
        <v>265</v>
      </c>
      <c r="F75" s="164"/>
      <c r="G75" s="164"/>
      <c r="H75" s="164"/>
      <c r="I75" s="164"/>
      <c r="J75" s="164"/>
      <c r="K75" s="166" t="s">
        <v>266</v>
      </c>
      <c r="O75" s="171"/>
      <c r="P75" s="171"/>
      <c r="R75" s="171"/>
    </row>
    <row r="76" spans="2:16" s="33" customFormat="1" ht="15.75">
      <c r="B76" s="164"/>
      <c r="C76" s="164"/>
      <c r="D76" s="164"/>
      <c r="E76" s="164" t="s">
        <v>267</v>
      </c>
      <c r="F76" s="164"/>
      <c r="G76" s="164"/>
      <c r="H76" s="164"/>
      <c r="I76" s="164"/>
      <c r="J76" s="164"/>
      <c r="K76" s="200" t="s">
        <v>249</v>
      </c>
      <c r="P76" s="171"/>
    </row>
    <row r="77" spans="2:11" s="33" customFormat="1" ht="15.75">
      <c r="B77" s="164"/>
      <c r="C77" s="164"/>
      <c r="D77" s="164"/>
      <c r="E77" s="164" t="s">
        <v>268</v>
      </c>
      <c r="F77" s="164"/>
      <c r="G77" s="164"/>
      <c r="H77" s="164"/>
      <c r="I77" s="164"/>
      <c r="J77" s="164"/>
      <c r="K77" s="166"/>
    </row>
    <row r="78" spans="1:11" s="33" customFormat="1" ht="15.75">
      <c r="A78" s="171"/>
      <c r="B78" s="164"/>
      <c r="C78" s="164"/>
      <c r="D78" s="164"/>
      <c r="E78" s="164" t="s">
        <v>269</v>
      </c>
      <c r="F78" s="164"/>
      <c r="G78" s="164"/>
      <c r="H78" s="164"/>
      <c r="I78" s="164"/>
      <c r="J78" s="164"/>
      <c r="K78" s="166"/>
    </row>
    <row r="79" spans="2:11" s="33" customFormat="1" ht="15.75">
      <c r="B79" s="164"/>
      <c r="C79" s="164"/>
      <c r="D79" s="164"/>
      <c r="E79" s="164"/>
      <c r="F79" s="164"/>
      <c r="G79" s="164"/>
      <c r="H79" s="164"/>
      <c r="I79" s="164"/>
      <c r="J79" s="164"/>
      <c r="K79" s="166"/>
    </row>
    <row r="80" spans="2:11" s="33" customFormat="1" ht="15.75">
      <c r="B80" s="167" t="s">
        <v>270</v>
      </c>
      <c r="C80" s="164"/>
      <c r="D80" s="164"/>
      <c r="E80" s="167" t="s">
        <v>259</v>
      </c>
      <c r="F80" s="164"/>
      <c r="G80" s="164"/>
      <c r="H80" s="164"/>
      <c r="I80" s="164"/>
      <c r="J80" s="164" t="s">
        <v>260</v>
      </c>
      <c r="K80" s="166" t="s">
        <v>271</v>
      </c>
    </row>
    <row r="81" spans="2:17" s="33" customFormat="1" ht="15.75">
      <c r="B81" s="164"/>
      <c r="C81" s="164"/>
      <c r="D81" s="164"/>
      <c r="E81" s="164" t="s">
        <v>262</v>
      </c>
      <c r="F81" s="164"/>
      <c r="G81" s="164"/>
      <c r="H81" s="164"/>
      <c r="I81" s="164"/>
      <c r="J81" s="164" t="s">
        <v>222</v>
      </c>
      <c r="K81" s="200" t="s">
        <v>249</v>
      </c>
      <c r="N81" s="171"/>
      <c r="O81" s="171"/>
      <c r="Q81" s="171"/>
    </row>
    <row r="82" spans="1:15" s="33" customFormat="1" ht="15.75">
      <c r="A82" s="171"/>
      <c r="B82" s="164"/>
      <c r="C82" s="164"/>
      <c r="D82" s="164"/>
      <c r="E82" s="164"/>
      <c r="F82" s="164"/>
      <c r="G82" s="164"/>
      <c r="H82" s="164"/>
      <c r="I82" s="164"/>
      <c r="J82" s="164"/>
      <c r="K82" s="166"/>
      <c r="O82" s="171"/>
    </row>
    <row r="83" spans="2:11" s="33" customFormat="1" ht="15.75">
      <c r="B83" s="164"/>
      <c r="C83" s="164"/>
      <c r="D83" s="164"/>
      <c r="E83" s="164"/>
      <c r="F83" s="164"/>
      <c r="G83" s="164"/>
      <c r="H83" s="164"/>
      <c r="I83" s="164"/>
      <c r="J83" s="164"/>
      <c r="K83" s="166"/>
    </row>
    <row r="84" spans="2:11" s="33" customFormat="1" ht="15.75">
      <c r="B84" s="164"/>
      <c r="C84" s="164"/>
      <c r="D84" s="164"/>
      <c r="E84" s="164"/>
      <c r="F84" s="164"/>
      <c r="G84" s="164"/>
      <c r="H84" s="164"/>
      <c r="I84" s="164"/>
      <c r="J84" s="164"/>
      <c r="K84" s="166"/>
    </row>
    <row r="85" spans="2:11" s="33" customFormat="1" ht="15.75">
      <c r="B85" s="167" t="s">
        <v>272</v>
      </c>
      <c r="C85" s="164"/>
      <c r="D85" s="164"/>
      <c r="E85" s="167" t="s">
        <v>273</v>
      </c>
      <c r="F85" s="164"/>
      <c r="G85" s="164"/>
      <c r="H85" s="164"/>
      <c r="I85" s="164"/>
      <c r="J85" s="164" t="s">
        <v>260</v>
      </c>
      <c r="K85" s="166" t="s">
        <v>274</v>
      </c>
    </row>
    <row r="86" spans="2:11" s="33" customFormat="1" ht="15.75">
      <c r="B86" s="164"/>
      <c r="C86" s="164"/>
      <c r="D86" s="164"/>
      <c r="E86" s="164" t="s">
        <v>275</v>
      </c>
      <c r="F86" s="164"/>
      <c r="G86" s="164"/>
      <c r="H86" s="164"/>
      <c r="I86" s="164"/>
      <c r="J86" s="164" t="s">
        <v>58</v>
      </c>
      <c r="K86" s="200" t="s">
        <v>249</v>
      </c>
    </row>
    <row r="87" spans="2:11" s="33" customFormat="1" ht="15.75">
      <c r="B87" s="164"/>
      <c r="C87" s="164"/>
      <c r="D87" s="164"/>
      <c r="E87" s="164" t="s">
        <v>276</v>
      </c>
      <c r="F87" s="164"/>
      <c r="G87" s="164"/>
      <c r="H87" s="164"/>
      <c r="I87" s="164"/>
      <c r="J87" s="164" t="s">
        <v>277</v>
      </c>
      <c r="K87" s="166"/>
    </row>
    <row r="88" spans="2:11" s="33" customFormat="1" ht="15.75">
      <c r="B88" s="164"/>
      <c r="C88" s="167"/>
      <c r="D88" s="164"/>
      <c r="E88" s="164"/>
      <c r="F88" s="164"/>
      <c r="G88" s="164"/>
      <c r="H88" s="164"/>
      <c r="I88" s="164"/>
      <c r="J88" s="164"/>
      <c r="K88" s="166"/>
    </row>
    <row r="89" spans="2:11" s="33" customFormat="1" ht="15.75">
      <c r="B89" s="164"/>
      <c r="C89" s="164"/>
      <c r="D89" s="164"/>
      <c r="E89" s="201"/>
      <c r="F89" s="199"/>
      <c r="G89" s="164"/>
      <c r="H89" s="164"/>
      <c r="I89" s="164"/>
      <c r="J89" s="164"/>
      <c r="K89" s="166"/>
    </row>
    <row r="90" spans="2:11" s="33" customFormat="1" ht="15.75">
      <c r="B90" s="164"/>
      <c r="C90" s="164"/>
      <c r="D90" s="164"/>
      <c r="E90" s="164"/>
      <c r="F90" s="164"/>
      <c r="G90" s="164"/>
      <c r="H90" s="164"/>
      <c r="I90" s="164"/>
      <c r="J90" s="164"/>
      <c r="K90" s="166"/>
    </row>
    <row r="91" spans="2:11" s="33" customFormat="1" ht="15.75">
      <c r="B91" s="164" t="s">
        <v>278</v>
      </c>
      <c r="C91" s="164"/>
      <c r="D91" s="164"/>
      <c r="E91" s="164"/>
      <c r="F91" s="164"/>
      <c r="G91" s="164"/>
      <c r="H91" s="164"/>
      <c r="I91" s="164"/>
      <c r="J91" s="164"/>
      <c r="K91" s="166"/>
    </row>
    <row r="92" spans="2:11" s="33" customFormat="1" ht="15.75">
      <c r="B92" s="167" t="s">
        <v>279</v>
      </c>
      <c r="C92" s="164"/>
      <c r="D92" s="164"/>
      <c r="E92" s="164"/>
      <c r="F92" s="164"/>
      <c r="G92" s="164"/>
      <c r="H92" s="164"/>
      <c r="I92" s="164"/>
      <c r="J92" s="164"/>
      <c r="K92" s="166" t="s">
        <v>280</v>
      </c>
    </row>
    <row r="93" spans="2:11" s="33" customFormat="1" ht="15.75">
      <c r="B93" s="164"/>
      <c r="C93" s="164"/>
      <c r="D93" s="167" t="s">
        <v>281</v>
      </c>
      <c r="E93" s="164"/>
      <c r="F93" s="164"/>
      <c r="G93" s="164"/>
      <c r="H93" s="164"/>
      <c r="I93" s="164"/>
      <c r="J93" s="164"/>
      <c r="K93" s="166" t="s">
        <v>282</v>
      </c>
    </row>
    <row r="94" spans="2:20" s="33" customFormat="1" ht="15.75">
      <c r="B94" s="164"/>
      <c r="C94" s="164"/>
      <c r="D94" s="162" t="str">
        <f>'Data input'!D3</f>
        <v>Rams</v>
      </c>
      <c r="E94" s="162" t="str">
        <f>'Data input'!E3</f>
        <v>Wethers</v>
      </c>
      <c r="F94" s="162" t="str">
        <f>'Data input'!F3</f>
        <v>Maiden breeding ewes</v>
      </c>
      <c r="G94" s="162" t="str">
        <f>'Data input'!G3</f>
        <v>Breeding ewes</v>
      </c>
      <c r="H94" s="162" t="str">
        <f>'Data input'!H3</f>
        <v>Other ewes</v>
      </c>
      <c r="I94" s="162" t="str">
        <f>'Data input'!I3</f>
        <v>Lambs and hoggets</v>
      </c>
      <c r="J94" s="202"/>
      <c r="K94" s="203"/>
      <c r="T94" s="204"/>
    </row>
    <row r="95" spans="2:11" s="33" customFormat="1" ht="15.75">
      <c r="B95" s="164"/>
      <c r="C95" s="164" t="s">
        <v>78</v>
      </c>
      <c r="D95" s="205">
        <f>'Nitrous Oxide_MMS'!O42*100%</f>
        <v>3.8077723607827644E-05</v>
      </c>
      <c r="E95" s="205">
        <f>'Nitrous Oxide_MMS'!P42*100%</f>
        <v>0.0012923444490046915</v>
      </c>
      <c r="F95" s="205">
        <f>'Nitrous Oxide_MMS'!Q42*100%</f>
        <v>0.00024089926953192476</v>
      </c>
      <c r="G95" s="205">
        <f>'Nitrous Oxide_MMS'!R42*100%</f>
        <v>0.00031592906592208133</v>
      </c>
      <c r="H95" s="205">
        <f>'Nitrous Oxide_MMS'!S42*100%</f>
        <v>0</v>
      </c>
      <c r="I95" s="205">
        <f>'Nitrous Oxide_MMS'!T42*100%</f>
        <v>0</v>
      </c>
      <c r="J95" s="164"/>
      <c r="K95" s="166"/>
    </row>
    <row r="96" spans="2:21" s="33" customFormat="1" ht="15.75">
      <c r="B96" s="164"/>
      <c r="C96" s="164" t="s">
        <v>80</v>
      </c>
      <c r="D96" s="205">
        <f>'Nitrous Oxide_MMS'!O43*100%</f>
        <v>2.4583781459353927E-05</v>
      </c>
      <c r="E96" s="205">
        <f>'Nitrous Oxide_MMS'!P43*100%</f>
        <v>0.0008151777228491437</v>
      </c>
      <c r="F96" s="205">
        <f>'Nitrous Oxide_MMS'!Q43*100%</f>
        <v>0.00016393751798945614</v>
      </c>
      <c r="G96" s="205">
        <f>'Nitrous Oxide_MMS'!R43*100%</f>
        <v>0.0001835445062100604</v>
      </c>
      <c r="H96" s="205">
        <f>'Nitrous Oxide_MMS'!S43*100%</f>
        <v>0</v>
      </c>
      <c r="I96" s="205">
        <f>'Nitrous Oxide_MMS'!T43*100%</f>
        <v>0</v>
      </c>
      <c r="J96" s="164"/>
      <c r="K96" s="166"/>
      <c r="U96" s="198"/>
    </row>
    <row r="97" spans="2:11" s="33" customFormat="1" ht="15.75">
      <c r="B97" s="164"/>
      <c r="C97" s="164" t="s">
        <v>81</v>
      </c>
      <c r="D97" s="205">
        <f>'Nitrous Oxide_MMS'!O44*100%</f>
        <v>3.196843955527813E-05</v>
      </c>
      <c r="E97" s="205">
        <f>'Nitrous Oxide_MMS'!P44*100%</f>
        <v>0.0010181660317087856</v>
      </c>
      <c r="F97" s="205">
        <f>'Nitrous Oxide_MMS'!Q44*100%</f>
        <v>0.0002076132484716348</v>
      </c>
      <c r="G97" s="205">
        <f>'Nitrous Oxide_MMS'!R44*100%</f>
        <v>0.0002346319855518729</v>
      </c>
      <c r="H97" s="205">
        <f>'Nitrous Oxide_MMS'!S44*100%</f>
        <v>0</v>
      </c>
      <c r="I97" s="205">
        <f>'Nitrous Oxide_MMS'!T44*100%</f>
        <v>0</v>
      </c>
      <c r="J97" s="164"/>
      <c r="K97" s="166"/>
    </row>
    <row r="98" spans="2:25" s="33" customFormat="1" ht="15.75">
      <c r="B98" s="164"/>
      <c r="C98" s="164" t="s">
        <v>83</v>
      </c>
      <c r="D98" s="205">
        <f>'Nitrous Oxide_MMS'!O45*100%</f>
        <v>2.4851510883766162E-05</v>
      </c>
      <c r="E98" s="205">
        <f>'Nitrous Oxide_MMS'!P45*100%</f>
        <v>0.0007478233471675224</v>
      </c>
      <c r="F98" s="205">
        <f>'Nitrous Oxide_MMS'!Q45*100%</f>
        <v>0.00015980501344090454</v>
      </c>
      <c r="G98" s="205">
        <f>'Nitrous Oxide_MMS'!R45*100%</f>
        <v>0.0002171193357372779</v>
      </c>
      <c r="H98" s="205">
        <f>'Nitrous Oxide_MMS'!S45*100%</f>
        <v>0</v>
      </c>
      <c r="I98" s="205">
        <f>'Nitrous Oxide_MMS'!T45*100%</f>
        <v>0</v>
      </c>
      <c r="J98" s="164"/>
      <c r="K98" s="166"/>
      <c r="T98" s="195"/>
      <c r="U98" s="195"/>
      <c r="V98" s="195"/>
      <c r="W98" s="195"/>
      <c r="X98" s="195"/>
      <c r="Y98" s="195"/>
    </row>
    <row r="99" spans="2:11" ht="15.75">
      <c r="B99" s="164"/>
      <c r="C99" s="164"/>
      <c r="D99" s="164"/>
      <c r="E99" s="164"/>
      <c r="F99" s="164"/>
      <c r="G99" s="164"/>
      <c r="H99" s="164"/>
      <c r="I99" s="164"/>
      <c r="J99" s="164"/>
      <c r="K99" s="166"/>
    </row>
    <row r="100" spans="2:11" ht="15.75">
      <c r="B100" s="164"/>
      <c r="C100" s="164"/>
      <c r="D100" s="167" t="s">
        <v>283</v>
      </c>
      <c r="E100" s="164"/>
      <c r="F100" s="164"/>
      <c r="G100" s="164"/>
      <c r="H100" s="164"/>
      <c r="I100" s="164"/>
      <c r="J100" s="164"/>
      <c r="K100" s="166" t="s">
        <v>284</v>
      </c>
    </row>
    <row r="101" spans="2:11" ht="15.75">
      <c r="B101" s="164"/>
      <c r="C101" s="164" t="s">
        <v>78</v>
      </c>
      <c r="D101" s="205">
        <f>'Nitrous Oxide_MMS'!O48*100%</f>
        <v>0.0001343391986883539</v>
      </c>
      <c r="E101" s="205">
        <f>'Nitrous Oxide_MMS'!P48*100%</f>
        <v>0.004357323017256444</v>
      </c>
      <c r="F101" s="205">
        <f>'Nitrous Oxide_MMS'!Q48*100%</f>
        <v>0.0008401127574135497</v>
      </c>
      <c r="G101" s="205">
        <f>'Nitrous Oxide_MMS'!R48*100%</f>
        <v>0.0007621970343738434</v>
      </c>
      <c r="H101" s="205">
        <f>'Nitrous Oxide_MMS'!S48*100%</f>
        <v>0</v>
      </c>
      <c r="I101" s="205">
        <f>'Nitrous Oxide_MMS'!T48*100%</f>
        <v>0</v>
      </c>
      <c r="J101" s="164"/>
      <c r="K101" s="166"/>
    </row>
    <row r="102" spans="2:11" ht="15.75">
      <c r="B102" s="164"/>
      <c r="C102" s="164" t="s">
        <v>80</v>
      </c>
      <c r="D102" s="205">
        <f>'Nitrous Oxide_MMS'!O49*100%</f>
        <v>2.9770160695827025E-05</v>
      </c>
      <c r="E102" s="205">
        <f>'Nitrous Oxide_MMS'!P49*100%</f>
        <v>0.0009306124358921234</v>
      </c>
      <c r="F102" s="205">
        <f>'Nitrous Oxide_MMS'!Q49*100%</f>
        <v>0.0001675575991068721</v>
      </c>
      <c r="G102" s="205">
        <f>'Nitrous Oxide_MMS'!R49*100%</f>
        <v>0.00019513237384605035</v>
      </c>
      <c r="H102" s="205">
        <f>'Nitrous Oxide_MMS'!S49*100%</f>
        <v>0</v>
      </c>
      <c r="I102" s="205">
        <f>'Nitrous Oxide_MMS'!T49*100%</f>
        <v>0</v>
      </c>
      <c r="J102" s="164"/>
      <c r="K102" s="166"/>
    </row>
    <row r="103" spans="2:11" ht="15.75">
      <c r="B103" s="164"/>
      <c r="C103" s="164" t="s">
        <v>81</v>
      </c>
      <c r="D103" s="205">
        <f>'Nitrous Oxide_MMS'!O50*100%</f>
        <v>8.703389918295783E-05</v>
      </c>
      <c r="E103" s="205">
        <f>'Nitrous Oxide_MMS'!P50*100%</f>
        <v>0.002756050421022134</v>
      </c>
      <c r="F103" s="205">
        <f>'Nitrous Oxide_MMS'!Q50*100%</f>
        <v>0.0005630678984818927</v>
      </c>
      <c r="G103" s="205">
        <f>'Nitrous Oxide_MMS'!R50*100%</f>
        <v>0.000642222922417265</v>
      </c>
      <c r="H103" s="205">
        <f>'Nitrous Oxide_MMS'!S50*100%</f>
        <v>0</v>
      </c>
      <c r="I103" s="205">
        <f>'Nitrous Oxide_MMS'!T50*100%</f>
        <v>0</v>
      </c>
      <c r="J103" s="164"/>
      <c r="K103" s="166"/>
    </row>
    <row r="104" spans="2:11" ht="15.75">
      <c r="B104" s="164"/>
      <c r="C104" s="164" t="s">
        <v>83</v>
      </c>
      <c r="D104" s="205">
        <f>'Nitrous Oxide_MMS'!O51*100%</f>
        <v>4.6700473308061455E-05</v>
      </c>
      <c r="E104" s="205">
        <f>'Nitrous Oxide_MMS'!P51*100%</f>
        <v>0.0013551582844524674</v>
      </c>
      <c r="F104" s="205">
        <f>'Nitrous Oxide_MMS'!Q51*100%</f>
        <v>0.00028591623720024403</v>
      </c>
      <c r="G104" s="205">
        <f>'Nitrous Oxide_MMS'!R51*100%</f>
        <v>0.00030593560074547986</v>
      </c>
      <c r="H104" s="205">
        <f>'Nitrous Oxide_MMS'!S51*100%</f>
        <v>0</v>
      </c>
      <c r="I104" s="205">
        <f>'Nitrous Oxide_MMS'!T51*100%</f>
        <v>0</v>
      </c>
      <c r="J104" s="164"/>
      <c r="K104" s="166"/>
    </row>
    <row r="105" spans="2:11" ht="15.75">
      <c r="B105" s="164"/>
      <c r="C105" s="164"/>
      <c r="D105" s="164"/>
      <c r="E105" s="164"/>
      <c r="F105" s="164"/>
      <c r="G105" s="164"/>
      <c r="H105" s="164"/>
      <c r="I105" s="164"/>
      <c r="J105" s="164"/>
      <c r="K105" s="166"/>
    </row>
    <row r="106" spans="2:11" ht="15.75">
      <c r="B106" s="167" t="s">
        <v>285</v>
      </c>
      <c r="C106" s="164"/>
      <c r="D106" s="167" t="s">
        <v>286</v>
      </c>
      <c r="E106" s="164"/>
      <c r="F106" s="164"/>
      <c r="G106" s="164"/>
      <c r="H106" s="164"/>
      <c r="I106" s="164"/>
      <c r="J106" s="164"/>
      <c r="K106" s="166" t="s">
        <v>287</v>
      </c>
    </row>
    <row r="107" spans="2:11" ht="15.75">
      <c r="B107" s="164"/>
      <c r="C107" s="164"/>
      <c r="D107" s="164" t="s">
        <v>288</v>
      </c>
      <c r="E107" s="199">
        <v>0.005</v>
      </c>
      <c r="F107" s="164"/>
      <c r="G107" s="164"/>
      <c r="H107" s="164"/>
      <c r="I107" s="164"/>
      <c r="J107" s="164" t="s">
        <v>222</v>
      </c>
      <c r="K107" s="166"/>
    </row>
    <row r="108" spans="2:11" ht="15.75">
      <c r="B108" s="164"/>
      <c r="C108" s="164"/>
      <c r="D108" s="164" t="s">
        <v>289</v>
      </c>
      <c r="E108" s="164">
        <v>0.004</v>
      </c>
      <c r="F108" s="164"/>
      <c r="G108" s="164"/>
      <c r="H108" s="164"/>
      <c r="I108" s="164"/>
      <c r="J108" s="164" t="s">
        <v>222</v>
      </c>
      <c r="K108" s="166"/>
    </row>
    <row r="109" spans="2:11" ht="15.75">
      <c r="B109" s="164"/>
      <c r="C109" s="206" t="s">
        <v>78</v>
      </c>
      <c r="D109" s="201">
        <f aca="true" t="shared" si="0" ref="D109:I112">(D95*0.005*$D$17)+(D101*0.004*$D$17)</f>
        <v>1.1435999343882989E-06</v>
      </c>
      <c r="E109" s="201">
        <f t="shared" si="0"/>
        <v>3.7543022493505935E-05</v>
      </c>
      <c r="F109" s="201">
        <f t="shared" si="0"/>
        <v>7.173488735778864E-06</v>
      </c>
      <c r="G109" s="201">
        <f t="shared" si="0"/>
        <v>7.273252591166226E-06</v>
      </c>
      <c r="H109" s="201">
        <f t="shared" si="0"/>
        <v>0</v>
      </c>
      <c r="I109" s="201">
        <f t="shared" si="0"/>
        <v>0</v>
      </c>
      <c r="J109" s="164" t="s">
        <v>202</v>
      </c>
      <c r="K109" s="166"/>
    </row>
    <row r="110" spans="2:11" ht="15.75">
      <c r="B110" s="164"/>
      <c r="C110" s="206" t="s">
        <v>80</v>
      </c>
      <c r="D110" s="201">
        <f t="shared" si="0"/>
        <v>3.802850072686936E-07</v>
      </c>
      <c r="E110" s="201">
        <f t="shared" si="0"/>
        <v>1.2254531705136618E-05</v>
      </c>
      <c r="F110" s="201">
        <f t="shared" si="0"/>
        <v>2.341299692874637E-06</v>
      </c>
      <c r="G110" s="201">
        <f t="shared" si="0"/>
        <v>2.6686817558256483E-06</v>
      </c>
      <c r="H110" s="201">
        <f t="shared" si="0"/>
        <v>0</v>
      </c>
      <c r="I110" s="201">
        <f t="shared" si="0"/>
        <v>0</v>
      </c>
      <c r="J110" s="164" t="s">
        <v>202</v>
      </c>
      <c r="K110" s="166"/>
    </row>
    <row r="111" spans="2:11" ht="15.75">
      <c r="B111" s="164"/>
      <c r="C111" s="206" t="s">
        <v>81</v>
      </c>
      <c r="D111" s="201">
        <f t="shared" si="0"/>
        <v>7.982508199414917E-07</v>
      </c>
      <c r="E111" s="201">
        <f t="shared" si="0"/>
        <v>2.5323621466993872E-05</v>
      </c>
      <c r="F111" s="201">
        <f t="shared" si="0"/>
        <v>5.170530885591885E-06</v>
      </c>
      <c r="G111" s="201">
        <f t="shared" si="0"/>
        <v>5.880366827387523E-06</v>
      </c>
      <c r="H111" s="201">
        <f t="shared" si="0"/>
        <v>0</v>
      </c>
      <c r="I111" s="201">
        <f t="shared" si="0"/>
        <v>0</v>
      </c>
      <c r="J111" s="164" t="s">
        <v>202</v>
      </c>
      <c r="K111" s="166"/>
    </row>
    <row r="112" spans="2:11" ht="15.75">
      <c r="B112" s="164"/>
      <c r="C112" s="206" t="s">
        <v>83</v>
      </c>
      <c r="D112" s="201">
        <f t="shared" si="0"/>
        <v>4.888077034516919E-07</v>
      </c>
      <c r="E112" s="201">
        <f t="shared" si="0"/>
        <v>1.4393892658588899E-05</v>
      </c>
      <c r="F112" s="201">
        <f t="shared" si="0"/>
        <v>3.0527985965800696E-06</v>
      </c>
      <c r="G112" s="201">
        <f t="shared" si="0"/>
        <v>3.6289614140501997E-06</v>
      </c>
      <c r="H112" s="201">
        <f t="shared" si="0"/>
        <v>0</v>
      </c>
      <c r="I112" s="201">
        <f t="shared" si="0"/>
        <v>0</v>
      </c>
      <c r="J112" s="164" t="s">
        <v>202</v>
      </c>
      <c r="K112" s="166"/>
    </row>
    <row r="113" spans="2:11" ht="15.75">
      <c r="B113" s="164"/>
      <c r="C113" s="164"/>
      <c r="D113" s="164"/>
      <c r="E113" s="164"/>
      <c r="F113" s="164"/>
      <c r="G113" s="164"/>
      <c r="H113" s="164"/>
      <c r="I113" s="164"/>
      <c r="J113" s="164"/>
      <c r="K113" s="166"/>
    </row>
    <row r="114" spans="2:11" ht="15.75">
      <c r="B114" s="167" t="s">
        <v>290</v>
      </c>
      <c r="C114" s="206" t="s">
        <v>78</v>
      </c>
      <c r="D114" s="201">
        <f aca="true" t="shared" si="1" ref="D114:I117">$G$59+D109</f>
        <v>1.1435999343882989E-06</v>
      </c>
      <c r="E114" s="201">
        <f t="shared" si="1"/>
        <v>3.7543022493505935E-05</v>
      </c>
      <c r="F114" s="201">
        <f t="shared" si="1"/>
        <v>7.173488735778864E-06</v>
      </c>
      <c r="G114" s="201">
        <f t="shared" si="1"/>
        <v>7.273252591166226E-06</v>
      </c>
      <c r="H114" s="201">
        <f t="shared" si="1"/>
        <v>0</v>
      </c>
      <c r="I114" s="201">
        <f t="shared" si="1"/>
        <v>0</v>
      </c>
      <c r="J114" s="164" t="s">
        <v>202</v>
      </c>
      <c r="K114" s="166"/>
    </row>
    <row r="115" spans="2:11" ht="15.75">
      <c r="B115" s="164"/>
      <c r="C115" s="206" t="s">
        <v>80</v>
      </c>
      <c r="D115" s="201">
        <f t="shared" si="1"/>
        <v>3.802850072686936E-07</v>
      </c>
      <c r="E115" s="201">
        <f t="shared" si="1"/>
        <v>1.2254531705136618E-05</v>
      </c>
      <c r="F115" s="201">
        <f t="shared" si="1"/>
        <v>2.341299692874637E-06</v>
      </c>
      <c r="G115" s="201">
        <f t="shared" si="1"/>
        <v>2.6686817558256483E-06</v>
      </c>
      <c r="H115" s="201">
        <f t="shared" si="1"/>
        <v>0</v>
      </c>
      <c r="I115" s="201">
        <f t="shared" si="1"/>
        <v>0</v>
      </c>
      <c r="J115" s="164" t="s">
        <v>202</v>
      </c>
      <c r="K115" s="166"/>
    </row>
    <row r="116" spans="2:11" ht="15.75">
      <c r="B116" s="164"/>
      <c r="C116" s="206" t="s">
        <v>81</v>
      </c>
      <c r="D116" s="201">
        <f t="shared" si="1"/>
        <v>7.982508199414917E-07</v>
      </c>
      <c r="E116" s="201">
        <f t="shared" si="1"/>
        <v>2.5323621466993872E-05</v>
      </c>
      <c r="F116" s="201">
        <f t="shared" si="1"/>
        <v>5.170530885591885E-06</v>
      </c>
      <c r="G116" s="201">
        <f t="shared" si="1"/>
        <v>5.880366827387523E-06</v>
      </c>
      <c r="H116" s="201">
        <f t="shared" si="1"/>
        <v>0</v>
      </c>
      <c r="I116" s="201">
        <f t="shared" si="1"/>
        <v>0</v>
      </c>
      <c r="J116" s="164" t="s">
        <v>202</v>
      </c>
      <c r="K116" s="166"/>
    </row>
    <row r="117" spans="2:11" ht="15.75">
      <c r="B117" s="164"/>
      <c r="C117" s="206" t="s">
        <v>83</v>
      </c>
      <c r="D117" s="201">
        <f t="shared" si="1"/>
        <v>4.888077034516919E-07</v>
      </c>
      <c r="E117" s="201">
        <f t="shared" si="1"/>
        <v>1.4393892658588899E-05</v>
      </c>
      <c r="F117" s="201">
        <f t="shared" si="1"/>
        <v>3.0527985965800696E-06</v>
      </c>
      <c r="G117" s="201">
        <f t="shared" si="1"/>
        <v>3.6289614140501997E-06</v>
      </c>
      <c r="H117" s="201">
        <f t="shared" si="1"/>
        <v>0</v>
      </c>
      <c r="I117" s="201">
        <f t="shared" si="1"/>
        <v>0</v>
      </c>
      <c r="J117" s="164" t="s">
        <v>202</v>
      </c>
      <c r="K117" s="166"/>
    </row>
    <row r="118" spans="2:11" ht="15.75">
      <c r="B118" s="164"/>
      <c r="C118" s="164"/>
      <c r="D118" s="164"/>
      <c r="E118" s="164"/>
      <c r="F118" s="164"/>
      <c r="G118" s="164"/>
      <c r="H118" s="164"/>
      <c r="I118" s="164"/>
      <c r="J118" s="164"/>
      <c r="K118" s="166"/>
    </row>
    <row r="119" spans="2:11" ht="15.75">
      <c r="B119" s="167" t="s">
        <v>139</v>
      </c>
      <c r="C119" s="173">
        <f>SUM(D114:I117)</f>
        <v>0.0001295153922885305</v>
      </c>
      <c r="D119" s="164"/>
      <c r="E119" s="164"/>
      <c r="F119" s="164"/>
      <c r="G119" s="164"/>
      <c r="H119" s="164"/>
      <c r="I119" s="164"/>
      <c r="J119" s="199" t="s">
        <v>203</v>
      </c>
      <c r="K119" s="166"/>
    </row>
    <row r="120" spans="2:11" ht="15.75">
      <c r="B120" s="167" t="s">
        <v>139</v>
      </c>
      <c r="C120" s="173">
        <f>C119*310</f>
        <v>0.04014977160944446</v>
      </c>
      <c r="D120" s="164"/>
      <c r="E120" s="164"/>
      <c r="F120" s="164"/>
      <c r="G120" s="164"/>
      <c r="H120" s="164"/>
      <c r="I120" s="164"/>
      <c r="J120" s="199" t="s">
        <v>141</v>
      </c>
      <c r="K120" s="166"/>
    </row>
    <row r="121" spans="2:11" ht="15.75">
      <c r="B121" s="167" t="s">
        <v>139</v>
      </c>
      <c r="C121" s="173">
        <f>C120*10^3</f>
        <v>40.149771609444464</v>
      </c>
      <c r="D121" s="164"/>
      <c r="E121" s="164"/>
      <c r="F121" s="164"/>
      <c r="G121" s="164"/>
      <c r="H121" s="164"/>
      <c r="I121" s="164"/>
      <c r="J121" s="199" t="s">
        <v>142</v>
      </c>
      <c r="K121" s="166"/>
    </row>
    <row r="122" spans="2:11" ht="15.75">
      <c r="B122" s="164"/>
      <c r="C122" s="164"/>
      <c r="D122" s="164"/>
      <c r="E122" s="164"/>
      <c r="F122" s="164"/>
      <c r="G122" s="164"/>
      <c r="H122" s="164"/>
      <c r="I122" s="164"/>
      <c r="J122" s="164"/>
      <c r="K122" s="166"/>
    </row>
    <row r="123" spans="2:11" ht="15.75">
      <c r="B123" s="164"/>
      <c r="C123" s="164"/>
      <c r="D123" s="164"/>
      <c r="E123" s="164"/>
      <c r="F123" s="164"/>
      <c r="G123" s="164"/>
      <c r="H123" s="164"/>
      <c r="I123" s="164"/>
      <c r="J123" s="164"/>
      <c r="K123" s="166"/>
    </row>
    <row r="124" spans="2:11" ht="15.75">
      <c r="B124" s="167" t="s">
        <v>291</v>
      </c>
      <c r="C124" s="164"/>
      <c r="D124" s="167" t="s">
        <v>292</v>
      </c>
      <c r="E124" s="164"/>
      <c r="F124" s="164"/>
      <c r="G124" s="164"/>
      <c r="H124" s="164"/>
      <c r="I124" s="164"/>
      <c r="J124" s="164"/>
      <c r="K124" s="166" t="s">
        <v>293</v>
      </c>
    </row>
    <row r="125" spans="2:11" ht="15.75">
      <c r="B125" s="164"/>
      <c r="C125" s="164"/>
      <c r="D125" s="164" t="s">
        <v>294</v>
      </c>
      <c r="E125" s="164"/>
      <c r="F125" s="164"/>
      <c r="G125" s="164"/>
      <c r="H125" s="164"/>
      <c r="I125" s="164"/>
      <c r="J125" s="164" t="s">
        <v>213</v>
      </c>
      <c r="K125" s="166"/>
    </row>
    <row r="126" spans="2:11" ht="15.75">
      <c r="B126" s="164"/>
      <c r="C126" s="164"/>
      <c r="D126" s="164" t="s">
        <v>212</v>
      </c>
      <c r="E126" s="164"/>
      <c r="F126" s="164"/>
      <c r="G126" s="164"/>
      <c r="H126" s="164"/>
      <c r="I126" s="164"/>
      <c r="J126" s="206" t="s">
        <v>213</v>
      </c>
      <c r="K126" s="166"/>
    </row>
    <row r="127" spans="2:11" ht="15.75">
      <c r="B127" s="164"/>
      <c r="C127" s="164"/>
      <c r="D127" s="164" t="s">
        <v>295</v>
      </c>
      <c r="E127" s="164"/>
      <c r="F127" s="164"/>
      <c r="G127" s="164"/>
      <c r="H127" s="164"/>
      <c r="I127" s="164"/>
      <c r="J127" s="206" t="s">
        <v>296</v>
      </c>
      <c r="K127" s="166"/>
    </row>
    <row r="128" spans="2:11" ht="15.75">
      <c r="B128" s="164"/>
      <c r="C128" s="164"/>
      <c r="D128" s="164"/>
      <c r="E128" s="164"/>
      <c r="F128" s="164"/>
      <c r="G128" s="164"/>
      <c r="H128" s="164"/>
      <c r="I128" s="164"/>
      <c r="J128" s="164"/>
      <c r="K128" s="166"/>
    </row>
    <row r="129" spans="2:11" ht="15.75">
      <c r="B129" s="164" t="s">
        <v>297</v>
      </c>
      <c r="C129" s="164"/>
      <c r="D129" s="207" t="s">
        <v>78</v>
      </c>
      <c r="E129" s="208">
        <f>SUM(D5,D10)*10^-6*0.1</f>
        <v>0</v>
      </c>
      <c r="F129" s="183"/>
      <c r="G129" s="164"/>
      <c r="H129" s="164"/>
      <c r="I129" s="164"/>
      <c r="J129" s="206" t="s">
        <v>298</v>
      </c>
      <c r="K129" s="166"/>
    </row>
    <row r="130" spans="2:11" ht="15.75">
      <c r="B130" s="164"/>
      <c r="C130" s="164"/>
      <c r="D130" s="209" t="s">
        <v>80</v>
      </c>
      <c r="E130" s="168">
        <f>SUM(D6,D11)*10^-6*0.1</f>
        <v>0</v>
      </c>
      <c r="F130" s="185"/>
      <c r="G130" s="164"/>
      <c r="H130" s="164"/>
      <c r="I130" s="164"/>
      <c r="J130" s="206" t="s">
        <v>298</v>
      </c>
      <c r="K130" s="166"/>
    </row>
    <row r="131" spans="2:11" ht="15.75">
      <c r="B131" s="164"/>
      <c r="C131" s="164"/>
      <c r="D131" s="209" t="s">
        <v>81</v>
      </c>
      <c r="E131" s="168">
        <f>SUM(D7,D12)*10^-6*0.1</f>
        <v>0</v>
      </c>
      <c r="F131" s="185"/>
      <c r="G131" s="164"/>
      <c r="H131" s="164"/>
      <c r="I131" s="164"/>
      <c r="J131" s="206" t="s">
        <v>298</v>
      </c>
      <c r="K131" s="166"/>
    </row>
    <row r="132" spans="2:11" ht="15.75">
      <c r="B132" s="164"/>
      <c r="C132" s="164"/>
      <c r="D132" s="210" t="s">
        <v>83</v>
      </c>
      <c r="E132" s="211">
        <f>SUM(D8,D13)*10^-6*0.1</f>
        <v>0</v>
      </c>
      <c r="F132" s="189"/>
      <c r="G132" s="164"/>
      <c r="H132" s="164"/>
      <c r="I132" s="164"/>
      <c r="J132" s="206" t="s">
        <v>298</v>
      </c>
      <c r="K132" s="166"/>
    </row>
    <row r="133" spans="2:11" ht="15.75">
      <c r="B133" s="164"/>
      <c r="C133" s="164"/>
      <c r="D133" s="164"/>
      <c r="E133" s="164"/>
      <c r="F133" s="164"/>
      <c r="G133" s="164"/>
      <c r="H133" s="164"/>
      <c r="I133" s="164"/>
      <c r="J133" s="164"/>
      <c r="K133" s="166"/>
    </row>
    <row r="134" spans="2:11" ht="15.75">
      <c r="B134" s="167" t="s">
        <v>299</v>
      </c>
      <c r="C134" s="164"/>
      <c r="D134" s="167" t="s">
        <v>300</v>
      </c>
      <c r="E134" s="164"/>
      <c r="F134" s="164"/>
      <c r="G134" s="164"/>
      <c r="H134" s="164"/>
      <c r="I134" s="164"/>
      <c r="J134" s="164"/>
      <c r="K134" s="166" t="s">
        <v>301</v>
      </c>
    </row>
    <row r="135" spans="2:11" ht="15.75">
      <c r="B135" s="164"/>
      <c r="C135" s="164"/>
      <c r="D135" s="164" t="s">
        <v>302</v>
      </c>
      <c r="E135" s="164"/>
      <c r="F135" s="164"/>
      <c r="G135" s="164"/>
      <c r="H135" s="164">
        <v>0.2</v>
      </c>
      <c r="I135" s="164"/>
      <c r="J135" s="164"/>
      <c r="K135" s="166" t="s">
        <v>303</v>
      </c>
    </row>
    <row r="136" spans="2:11" ht="15.75">
      <c r="B136" s="164"/>
      <c r="C136" s="206" t="s">
        <v>78</v>
      </c>
      <c r="D136" s="201">
        <f>'Nitrous Oxide_MMS'!O54*100%*$H$135</f>
        <v>3.448338445923631E-05</v>
      </c>
      <c r="E136" s="201">
        <f>'Nitrous Oxide_MMS'!P54*100%*$H$135</f>
        <v>0.0011299334932522273</v>
      </c>
      <c r="F136" s="201">
        <f>'Nitrous Oxide_MMS'!Q54*100%*$H$135</f>
        <v>0.00021620240538909488</v>
      </c>
      <c r="G136" s="201">
        <f>'Nitrous Oxide_MMS'!R54*100%*$H$135</f>
        <v>0.00021562522005918495</v>
      </c>
      <c r="H136" s="201">
        <f>'Nitrous Oxide_MMS'!S54*100%*$H$135</f>
        <v>0</v>
      </c>
      <c r="I136" s="201">
        <f>'Nitrous Oxide_MMS'!T54*100%*$H$135</f>
        <v>0</v>
      </c>
      <c r="J136" s="164"/>
      <c r="K136" s="166"/>
    </row>
    <row r="137" spans="2:11" ht="15.75">
      <c r="B137" s="164"/>
      <c r="C137" s="206" t="s">
        <v>80</v>
      </c>
      <c r="D137" s="201">
        <f>'Nitrous Oxide_MMS'!O55*100%*$H$135</f>
        <v>1.0870788431036191E-05</v>
      </c>
      <c r="E137" s="201">
        <f>'Nitrous Oxide_MMS'!P55*100%*$H$135</f>
        <v>0.00034915803174825346</v>
      </c>
      <c r="F137" s="201">
        <f>'Nitrous Oxide_MMS'!Q55*100%*$H$135</f>
        <v>6.629902341926566E-05</v>
      </c>
      <c r="G137" s="201">
        <f>'Nitrous Oxide_MMS'!R55*100%*$H$135</f>
        <v>7.573537601122216E-05</v>
      </c>
      <c r="H137" s="201">
        <f>'Nitrous Oxide_MMS'!S55*100%*$H$135</f>
        <v>0</v>
      </c>
      <c r="I137" s="201">
        <f>'Nitrous Oxide_MMS'!T55*100%*$H$135</f>
        <v>0</v>
      </c>
      <c r="J137" s="164"/>
      <c r="K137" s="166"/>
    </row>
    <row r="138" spans="2:11" ht="15.75">
      <c r="B138" s="164"/>
      <c r="C138" s="206" t="s">
        <v>81</v>
      </c>
      <c r="D138" s="201">
        <f>'Nitrous Oxide_MMS'!O56*100%*$H$135</f>
        <v>2.3800467747647197E-05</v>
      </c>
      <c r="E138" s="201">
        <f>'Nitrous Oxide_MMS'!P56*100%*$H$135</f>
        <v>0.0007548432905461841</v>
      </c>
      <c r="F138" s="201">
        <f>'Nitrous Oxide_MMS'!Q56*100%*$H$135</f>
        <v>0.00015413622939070552</v>
      </c>
      <c r="G138" s="201">
        <f>'Nitrous Oxide_MMS'!R56*100%*$H$135</f>
        <v>0.0001753709815938276</v>
      </c>
      <c r="H138" s="201">
        <f>'Nitrous Oxide_MMS'!S56*100%*$H$135</f>
        <v>0</v>
      </c>
      <c r="I138" s="201">
        <f>'Nitrous Oxide_MMS'!T56*100%*$H$135</f>
        <v>0</v>
      </c>
      <c r="J138" s="164"/>
      <c r="K138" s="166"/>
    </row>
    <row r="139" spans="2:11" ht="15.75">
      <c r="B139" s="164"/>
      <c r="C139" s="206" t="s">
        <v>83</v>
      </c>
      <c r="D139" s="201">
        <f>'Nitrous Oxide_MMS'!O57*100%*$H$135</f>
        <v>1.4310396838365524E-05</v>
      </c>
      <c r="E139" s="201">
        <f>'Nitrous Oxide_MMS'!P57*100%*$H$135</f>
        <v>0.00042059632632399796</v>
      </c>
      <c r="F139" s="201">
        <f>'Nitrous Oxide_MMS'!Q57*100%*$H$135</f>
        <v>8.914425012822972E-05</v>
      </c>
      <c r="G139" s="201">
        <f>'Nitrous Oxide_MMS'!R57*100%*$H$135</f>
        <v>0.00010461098729655156</v>
      </c>
      <c r="H139" s="201">
        <f>'Nitrous Oxide_MMS'!S57*100%*$H$135</f>
        <v>0</v>
      </c>
      <c r="I139" s="201">
        <f>'Nitrous Oxide_MMS'!T57*100%*$H$135</f>
        <v>0</v>
      </c>
      <c r="J139" s="164"/>
      <c r="K139" s="166"/>
    </row>
    <row r="140" spans="2:11" ht="15.75">
      <c r="B140" s="164"/>
      <c r="C140" s="164"/>
      <c r="D140" s="164"/>
      <c r="E140" s="164"/>
      <c r="F140" s="164"/>
      <c r="G140" s="164"/>
      <c r="H140" s="164"/>
      <c r="I140" s="164"/>
      <c r="J140" s="164"/>
      <c r="K140" s="166"/>
    </row>
    <row r="141" spans="2:11" ht="15.75">
      <c r="B141" s="164"/>
      <c r="C141" s="164"/>
      <c r="D141" s="164"/>
      <c r="E141" s="164"/>
      <c r="F141" s="164"/>
      <c r="G141" s="164"/>
      <c r="H141" s="164"/>
      <c r="I141" s="164"/>
      <c r="J141" s="164"/>
      <c r="K141" s="166"/>
    </row>
    <row r="142" spans="2:11" ht="15.75">
      <c r="B142" s="167" t="s">
        <v>304</v>
      </c>
      <c r="C142" s="164"/>
      <c r="D142" s="167" t="s">
        <v>305</v>
      </c>
      <c r="E142" s="164"/>
      <c r="F142" s="164"/>
      <c r="G142" s="164"/>
      <c r="H142" s="164"/>
      <c r="I142" s="164"/>
      <c r="J142" s="164" t="s">
        <v>213</v>
      </c>
      <c r="K142" s="166" t="s">
        <v>306</v>
      </c>
    </row>
    <row r="143" spans="2:11" ht="15.75">
      <c r="B143" s="164"/>
      <c r="C143" s="164"/>
      <c r="D143" s="164" t="s">
        <v>307</v>
      </c>
      <c r="E143" s="164"/>
      <c r="F143" s="164" t="s">
        <v>308</v>
      </c>
      <c r="G143" s="164"/>
      <c r="H143" s="164"/>
      <c r="I143" s="164"/>
      <c r="J143" s="164"/>
      <c r="K143" s="166" t="s">
        <v>249</v>
      </c>
    </row>
    <row r="144" spans="2:11" ht="15.75">
      <c r="B144" s="164"/>
      <c r="C144" s="164"/>
      <c r="D144" s="164" t="s">
        <v>309</v>
      </c>
      <c r="E144" s="164"/>
      <c r="F144" s="164"/>
      <c r="G144" s="164"/>
      <c r="H144" s="164"/>
      <c r="I144" s="164"/>
      <c r="J144" s="164"/>
      <c r="K144" s="166"/>
    </row>
    <row r="145" spans="2:11" ht="15.75">
      <c r="B145" s="164"/>
      <c r="C145" s="164"/>
      <c r="D145" s="164"/>
      <c r="E145" s="164"/>
      <c r="F145" s="164"/>
      <c r="G145" s="164"/>
      <c r="H145" s="164"/>
      <c r="I145" s="164"/>
      <c r="J145" s="164"/>
      <c r="K145" s="166"/>
    </row>
    <row r="146" spans="2:11" ht="15.75">
      <c r="B146" s="164"/>
      <c r="C146" s="164"/>
      <c r="D146" s="164"/>
      <c r="E146" s="164"/>
      <c r="F146" s="164"/>
      <c r="G146" s="164"/>
      <c r="H146" s="164"/>
      <c r="I146" s="164"/>
      <c r="J146" s="164"/>
      <c r="K146" s="166"/>
    </row>
    <row r="147" spans="2:11" ht="15.75">
      <c r="B147" s="167" t="s">
        <v>310</v>
      </c>
      <c r="C147" s="164"/>
      <c r="D147" s="167" t="s">
        <v>259</v>
      </c>
      <c r="E147" s="164"/>
      <c r="F147" s="164"/>
      <c r="G147" s="164"/>
      <c r="H147" s="164"/>
      <c r="I147" s="164"/>
      <c r="J147" s="164"/>
      <c r="K147" s="166" t="s">
        <v>311</v>
      </c>
    </row>
    <row r="148" spans="2:11" ht="15.75">
      <c r="B148" s="164"/>
      <c r="C148" s="164"/>
      <c r="D148" s="164" t="s">
        <v>312</v>
      </c>
      <c r="E148" s="164"/>
      <c r="F148" s="164"/>
      <c r="G148" s="164"/>
      <c r="H148" s="164"/>
      <c r="I148" s="164"/>
      <c r="J148" s="164" t="s">
        <v>213</v>
      </c>
      <c r="K148" s="166"/>
    </row>
    <row r="149" spans="2:11" ht="15.75">
      <c r="B149" s="164"/>
      <c r="C149" s="164"/>
      <c r="D149" s="164" t="s">
        <v>313</v>
      </c>
      <c r="E149" s="164"/>
      <c r="F149" s="164"/>
      <c r="G149" s="164"/>
      <c r="H149" s="164"/>
      <c r="I149" s="164"/>
      <c r="J149" s="164" t="s">
        <v>222</v>
      </c>
      <c r="K149" s="166"/>
    </row>
    <row r="150" spans="2:11" ht="15.75">
      <c r="B150" s="164"/>
      <c r="C150" s="164"/>
      <c r="D150" s="164"/>
      <c r="E150" s="164"/>
      <c r="F150" s="164"/>
      <c r="G150" s="164"/>
      <c r="H150" s="164"/>
      <c r="I150" s="164"/>
      <c r="J150" s="164"/>
      <c r="K150" s="166"/>
    </row>
    <row r="151" spans="2:11" ht="15.75">
      <c r="B151" s="164" t="s">
        <v>297</v>
      </c>
      <c r="C151" s="164"/>
      <c r="D151" s="207" t="s">
        <v>78</v>
      </c>
      <c r="E151" s="174">
        <f>E129*0.01*$D$17</f>
        <v>0</v>
      </c>
      <c r="F151" s="183"/>
      <c r="G151" s="164"/>
      <c r="H151" s="164"/>
      <c r="I151" s="164"/>
      <c r="J151" s="206" t="s">
        <v>202</v>
      </c>
      <c r="K151" s="166"/>
    </row>
    <row r="152" spans="2:11" ht="15.75">
      <c r="B152" s="164"/>
      <c r="C152" s="164"/>
      <c r="D152" s="209" t="s">
        <v>80</v>
      </c>
      <c r="E152" s="164">
        <f>E130*0.01*$D$17</f>
        <v>0</v>
      </c>
      <c r="F152" s="185"/>
      <c r="G152" s="164"/>
      <c r="H152" s="164"/>
      <c r="I152" s="164"/>
      <c r="J152" s="206" t="s">
        <v>202</v>
      </c>
      <c r="K152" s="166"/>
    </row>
    <row r="153" spans="2:11" ht="15.75">
      <c r="B153" s="164"/>
      <c r="C153" s="164"/>
      <c r="D153" s="209" t="s">
        <v>81</v>
      </c>
      <c r="E153" s="164">
        <f>E131*0.01*$D$17</f>
        <v>0</v>
      </c>
      <c r="F153" s="185"/>
      <c r="G153" s="164"/>
      <c r="H153" s="164"/>
      <c r="I153" s="164"/>
      <c r="J153" s="206" t="s">
        <v>202</v>
      </c>
      <c r="K153" s="166"/>
    </row>
    <row r="154" spans="2:11" ht="15.75">
      <c r="B154" s="164"/>
      <c r="C154" s="164"/>
      <c r="D154" s="210" t="s">
        <v>83</v>
      </c>
      <c r="E154" s="176">
        <f>E132*0.01*$D$17</f>
        <v>0</v>
      </c>
      <c r="F154" s="189"/>
      <c r="G154" s="164"/>
      <c r="H154" s="164"/>
      <c r="I154" s="164"/>
      <c r="J154" s="206" t="s">
        <v>202</v>
      </c>
      <c r="K154" s="166"/>
    </row>
    <row r="155" spans="2:11" ht="15.75">
      <c r="B155" s="164"/>
      <c r="C155" s="164"/>
      <c r="D155" s="164"/>
      <c r="E155" s="164"/>
      <c r="F155" s="164"/>
      <c r="G155" s="164"/>
      <c r="H155" s="164"/>
      <c r="I155" s="164"/>
      <c r="J155" s="164"/>
      <c r="K155" s="166"/>
    </row>
    <row r="156" spans="2:11" ht="15.75">
      <c r="B156" s="164" t="s">
        <v>314</v>
      </c>
      <c r="C156" s="206" t="s">
        <v>78</v>
      </c>
      <c r="D156" s="165">
        <f aca="true" t="shared" si="2" ref="D156:I159">D136*0.01*$D$17</f>
        <v>5.418817557879992E-07</v>
      </c>
      <c r="E156" s="165">
        <f t="shared" si="2"/>
        <v>1.7756097751106428E-05</v>
      </c>
      <c r="F156" s="165">
        <f t="shared" si="2"/>
        <v>3.3974663704000624E-06</v>
      </c>
      <c r="G156" s="165">
        <f t="shared" si="2"/>
        <v>3.3883963152157638E-06</v>
      </c>
      <c r="H156" s="165">
        <f t="shared" si="2"/>
        <v>0</v>
      </c>
      <c r="I156" s="165">
        <f t="shared" si="2"/>
        <v>0</v>
      </c>
      <c r="J156" s="206" t="s">
        <v>202</v>
      </c>
      <c r="K156" s="166"/>
    </row>
    <row r="157" spans="2:11" ht="15.75">
      <c r="B157" s="164"/>
      <c r="C157" s="206" t="s">
        <v>80</v>
      </c>
      <c r="D157" s="165">
        <f t="shared" si="2"/>
        <v>1.7082667534485444E-07</v>
      </c>
      <c r="E157" s="165">
        <f t="shared" si="2"/>
        <v>5.486769070329697E-06</v>
      </c>
      <c r="F157" s="165">
        <f t="shared" si="2"/>
        <v>1.0418417965884604E-06</v>
      </c>
      <c r="G157" s="165">
        <f t="shared" si="2"/>
        <v>1.1901273373192054E-06</v>
      </c>
      <c r="H157" s="165">
        <f t="shared" si="2"/>
        <v>0</v>
      </c>
      <c r="I157" s="165">
        <f t="shared" si="2"/>
        <v>0</v>
      </c>
      <c r="J157" s="206" t="s">
        <v>202</v>
      </c>
      <c r="K157" s="166"/>
    </row>
    <row r="158" spans="2:11" ht="15.75">
      <c r="B158" s="164"/>
      <c r="C158" s="206" t="s">
        <v>81</v>
      </c>
      <c r="D158" s="165">
        <f t="shared" si="2"/>
        <v>3.7400735032017027E-07</v>
      </c>
      <c r="E158" s="165">
        <f t="shared" si="2"/>
        <v>1.1861823137154321E-05</v>
      </c>
      <c r="F158" s="165">
        <f t="shared" si="2"/>
        <v>2.4221407475682297E-06</v>
      </c>
      <c r="G158" s="165">
        <f t="shared" si="2"/>
        <v>2.755829710760148E-06</v>
      </c>
      <c r="H158" s="165">
        <f t="shared" si="2"/>
        <v>0</v>
      </c>
      <c r="I158" s="165">
        <f t="shared" si="2"/>
        <v>0</v>
      </c>
      <c r="J158" s="206" t="s">
        <v>202</v>
      </c>
      <c r="K158" s="166"/>
    </row>
    <row r="159" spans="2:11" ht="15.75">
      <c r="B159" s="164"/>
      <c r="C159" s="206" t="s">
        <v>83</v>
      </c>
      <c r="D159" s="165">
        <f t="shared" si="2"/>
        <v>2.248776646028868E-07</v>
      </c>
      <c r="E159" s="165">
        <f t="shared" si="2"/>
        <v>6.609370842234254E-06</v>
      </c>
      <c r="F159" s="165">
        <f t="shared" si="2"/>
        <v>1.4008382163007527E-06</v>
      </c>
      <c r="G159" s="165">
        <f t="shared" si="2"/>
        <v>1.6438869432315248E-06</v>
      </c>
      <c r="H159" s="165">
        <f t="shared" si="2"/>
        <v>0</v>
      </c>
      <c r="I159" s="165">
        <f t="shared" si="2"/>
        <v>0</v>
      </c>
      <c r="J159" s="206" t="s">
        <v>202</v>
      </c>
      <c r="K159" s="166"/>
    </row>
    <row r="160" spans="2:11" ht="15.75">
      <c r="B160" s="164"/>
      <c r="C160" s="164"/>
      <c r="D160" s="164"/>
      <c r="E160" s="164"/>
      <c r="F160" s="164"/>
      <c r="G160" s="164"/>
      <c r="H160" s="164"/>
      <c r="I160" s="164"/>
      <c r="J160" s="164"/>
      <c r="K160" s="166"/>
    </row>
    <row r="161" spans="2:11" ht="15.75">
      <c r="B161" s="164" t="s">
        <v>231</v>
      </c>
      <c r="C161" s="164"/>
      <c r="D161" s="207" t="s">
        <v>78</v>
      </c>
      <c r="E161" s="212">
        <f>E151+SUM(D156:I156)</f>
        <v>2.5083842192510257E-05</v>
      </c>
      <c r="F161" s="183"/>
      <c r="G161" s="164"/>
      <c r="H161" s="164"/>
      <c r="I161" s="164"/>
      <c r="J161" s="206" t="s">
        <v>202</v>
      </c>
      <c r="K161" s="166"/>
    </row>
    <row r="162" spans="2:11" ht="15.75">
      <c r="B162" s="164"/>
      <c r="C162" s="164"/>
      <c r="D162" s="209" t="s">
        <v>80</v>
      </c>
      <c r="E162" s="205">
        <f>E152+SUM(D157:I157)</f>
        <v>7.889564879582217E-06</v>
      </c>
      <c r="F162" s="185"/>
      <c r="G162" s="164"/>
      <c r="H162" s="164"/>
      <c r="I162" s="164"/>
      <c r="J162" s="206" t="s">
        <v>202</v>
      </c>
      <c r="K162" s="166"/>
    </row>
    <row r="163" spans="2:11" ht="15.75">
      <c r="B163" s="164"/>
      <c r="C163" s="164"/>
      <c r="D163" s="209" t="s">
        <v>81</v>
      </c>
      <c r="E163" s="205">
        <f>E153+SUM(D158:I158)</f>
        <v>1.741380094580287E-05</v>
      </c>
      <c r="F163" s="185"/>
      <c r="G163" s="164"/>
      <c r="H163" s="164"/>
      <c r="I163" s="164"/>
      <c r="J163" s="206" t="s">
        <v>202</v>
      </c>
      <c r="K163" s="166"/>
    </row>
    <row r="164" spans="2:11" ht="15.75">
      <c r="B164" s="164"/>
      <c r="C164" s="164"/>
      <c r="D164" s="210" t="s">
        <v>83</v>
      </c>
      <c r="E164" s="213">
        <f>E154+SUM(D159:I159)</f>
        <v>9.87897366636942E-06</v>
      </c>
      <c r="F164" s="189"/>
      <c r="G164" s="164"/>
      <c r="H164" s="164"/>
      <c r="I164" s="164"/>
      <c r="J164" s="206" t="s">
        <v>202</v>
      </c>
      <c r="K164" s="166"/>
    </row>
    <row r="165" spans="2:11" ht="15.75">
      <c r="B165" s="164"/>
      <c r="C165" s="164"/>
      <c r="D165" s="164"/>
      <c r="E165" s="164"/>
      <c r="F165" s="164"/>
      <c r="G165" s="164"/>
      <c r="H165" s="164"/>
      <c r="I165" s="164"/>
      <c r="J165" s="164"/>
      <c r="K165" s="166"/>
    </row>
    <row r="166" spans="2:11" ht="15.75">
      <c r="B166" s="167" t="s">
        <v>139</v>
      </c>
      <c r="C166" s="164"/>
      <c r="D166" s="173">
        <f>SUM(E161:E164)</f>
        <v>6.026618168426477E-05</v>
      </c>
      <c r="E166" s="164"/>
      <c r="F166" s="164"/>
      <c r="G166" s="164"/>
      <c r="H166" s="164"/>
      <c r="I166" s="164"/>
      <c r="J166" s="206" t="s">
        <v>203</v>
      </c>
      <c r="K166" s="166"/>
    </row>
    <row r="167" spans="2:11" ht="15.75">
      <c r="B167" s="167" t="s">
        <v>315</v>
      </c>
      <c r="C167" s="164"/>
      <c r="D167" s="173">
        <f>D166*310</f>
        <v>0.01868251632212208</v>
      </c>
      <c r="E167" s="164"/>
      <c r="F167" s="164"/>
      <c r="G167" s="164"/>
      <c r="H167" s="164"/>
      <c r="I167" s="164"/>
      <c r="J167" s="206" t="s">
        <v>141</v>
      </c>
      <c r="K167" s="166"/>
    </row>
    <row r="168" spans="2:11" ht="15.75">
      <c r="B168" s="164"/>
      <c r="C168" s="164"/>
      <c r="D168" s="164"/>
      <c r="E168" s="164"/>
      <c r="F168" s="164"/>
      <c r="G168" s="164"/>
      <c r="H168" s="164"/>
      <c r="I168" s="164"/>
      <c r="J168" s="164"/>
      <c r="K168" s="166"/>
    </row>
    <row r="169" spans="2:11" ht="15.75">
      <c r="B169" s="164"/>
      <c r="C169" s="164"/>
      <c r="D169" s="164"/>
      <c r="E169" s="164"/>
      <c r="F169" s="164"/>
      <c r="G169" s="164"/>
      <c r="H169" s="164"/>
      <c r="I169" s="164"/>
      <c r="J169" s="164"/>
      <c r="K169" s="166"/>
    </row>
    <row r="170" spans="2:11" ht="15.75">
      <c r="B170" s="164" t="s">
        <v>316</v>
      </c>
      <c r="C170" s="164"/>
      <c r="D170" s="164"/>
      <c r="E170" s="164"/>
      <c r="F170" s="164"/>
      <c r="G170" s="164"/>
      <c r="H170" s="164"/>
      <c r="I170" s="164"/>
      <c r="J170" s="164"/>
      <c r="K170" s="166"/>
    </row>
    <row r="171" spans="2:11" ht="15.75">
      <c r="B171" s="167" t="s">
        <v>317</v>
      </c>
      <c r="C171" s="164"/>
      <c r="D171" s="167" t="s">
        <v>318</v>
      </c>
      <c r="E171" s="164"/>
      <c r="F171" s="164"/>
      <c r="G171" s="164"/>
      <c r="H171" s="164"/>
      <c r="I171" s="164"/>
      <c r="J171" s="164"/>
      <c r="K171" s="166" t="s">
        <v>319</v>
      </c>
    </row>
    <row r="172" spans="2:11" ht="15.75">
      <c r="B172" s="164"/>
      <c r="C172" s="164"/>
      <c r="D172" s="164" t="s">
        <v>320</v>
      </c>
      <c r="E172" s="164"/>
      <c r="F172" s="164"/>
      <c r="G172" s="164"/>
      <c r="H172" s="164"/>
      <c r="I172" s="164"/>
      <c r="J172" s="164" t="s">
        <v>213</v>
      </c>
      <c r="K172" s="166"/>
    </row>
    <row r="173" spans="2:11" ht="15.75">
      <c r="B173" s="164"/>
      <c r="C173" s="164"/>
      <c r="D173" s="164" t="s">
        <v>321</v>
      </c>
      <c r="E173" s="164"/>
      <c r="F173" s="164"/>
      <c r="G173" s="164"/>
      <c r="H173" s="199">
        <f>IF('Data input'!M7="Y",0,1)</f>
        <v>1</v>
      </c>
      <c r="I173" s="164"/>
      <c r="J173" s="164"/>
      <c r="K173" s="166" t="s">
        <v>322</v>
      </c>
    </row>
    <row r="174" spans="2:11" ht="15.75">
      <c r="B174" s="164"/>
      <c r="C174" s="164"/>
      <c r="D174" s="164" t="s">
        <v>323</v>
      </c>
      <c r="E174" s="164"/>
      <c r="F174" s="164"/>
      <c r="G174" s="164"/>
      <c r="H174" s="199">
        <f>0.3</f>
        <v>0.3</v>
      </c>
      <c r="I174" s="164"/>
      <c r="J174" s="164" t="s">
        <v>296</v>
      </c>
      <c r="K174" s="166"/>
    </row>
    <row r="175" spans="2:11" ht="15.75">
      <c r="B175" s="164"/>
      <c r="C175" s="164"/>
      <c r="D175" s="164"/>
      <c r="E175" s="164"/>
      <c r="F175" s="164"/>
      <c r="G175" s="164"/>
      <c r="H175" s="164"/>
      <c r="I175" s="164"/>
      <c r="J175" s="164"/>
      <c r="K175" s="166"/>
    </row>
    <row r="176" spans="2:11" ht="15.75">
      <c r="B176" s="164"/>
      <c r="C176" s="164"/>
      <c r="D176" s="207" t="s">
        <v>78</v>
      </c>
      <c r="E176" s="174">
        <f>SUM(D25,D30)*$H$173*$H$174</f>
        <v>0</v>
      </c>
      <c r="F176" s="183"/>
      <c r="G176" s="164"/>
      <c r="H176" s="164"/>
      <c r="I176" s="164"/>
      <c r="J176" s="164" t="s">
        <v>202</v>
      </c>
      <c r="K176" s="166"/>
    </row>
    <row r="177" spans="2:11" ht="15.75">
      <c r="B177" s="164"/>
      <c r="C177" s="164"/>
      <c r="D177" s="209" t="s">
        <v>80</v>
      </c>
      <c r="E177" s="164">
        <f>SUM(D26,D31)*$H$173*$H$174</f>
        <v>0</v>
      </c>
      <c r="F177" s="185"/>
      <c r="G177" s="164"/>
      <c r="H177" s="164"/>
      <c r="I177" s="164"/>
      <c r="J177" s="164" t="s">
        <v>202</v>
      </c>
      <c r="K177" s="166"/>
    </row>
    <row r="178" spans="2:11" ht="15.75">
      <c r="B178" s="164"/>
      <c r="C178" s="164"/>
      <c r="D178" s="209" t="s">
        <v>81</v>
      </c>
      <c r="E178" s="164">
        <f>SUM(D27,D32)*$H$173*$H$174</f>
        <v>0</v>
      </c>
      <c r="F178" s="185"/>
      <c r="G178" s="164"/>
      <c r="H178" s="164"/>
      <c r="I178" s="164"/>
      <c r="J178" s="164" t="s">
        <v>202</v>
      </c>
      <c r="K178" s="166"/>
    </row>
    <row r="179" spans="2:11" ht="15.75">
      <c r="B179" s="164"/>
      <c r="C179" s="164"/>
      <c r="D179" s="210" t="s">
        <v>83</v>
      </c>
      <c r="E179" s="176">
        <f>SUM(D28,D33)*$H$173*$H$174</f>
        <v>0</v>
      </c>
      <c r="F179" s="189"/>
      <c r="G179" s="164"/>
      <c r="H179" s="164"/>
      <c r="I179" s="164"/>
      <c r="J179" s="164" t="s">
        <v>202</v>
      </c>
      <c r="K179" s="166"/>
    </row>
    <row r="180" spans="2:11" ht="15.75">
      <c r="B180" s="164"/>
      <c r="C180" s="164"/>
      <c r="D180" s="164"/>
      <c r="E180" s="164"/>
      <c r="F180" s="164"/>
      <c r="G180" s="164"/>
      <c r="H180" s="164"/>
      <c r="I180" s="164"/>
      <c r="J180" s="164"/>
      <c r="K180" s="166"/>
    </row>
    <row r="181" spans="2:11" ht="15.75">
      <c r="B181" s="167" t="s">
        <v>324</v>
      </c>
      <c r="C181" s="164"/>
      <c r="D181" s="164"/>
      <c r="E181" s="164"/>
      <c r="F181" s="164"/>
      <c r="G181" s="164"/>
      <c r="H181" s="164"/>
      <c r="I181" s="164"/>
      <c r="J181" s="164"/>
      <c r="K181" s="166"/>
    </row>
    <row r="182" spans="2:11" ht="15.75">
      <c r="B182" s="164"/>
      <c r="C182" s="164"/>
      <c r="D182" s="167" t="s">
        <v>325</v>
      </c>
      <c r="E182" s="164"/>
      <c r="F182" s="164"/>
      <c r="G182" s="164"/>
      <c r="H182" s="164"/>
      <c r="I182" s="164"/>
      <c r="J182" s="164" t="s">
        <v>298</v>
      </c>
      <c r="K182" s="166" t="s">
        <v>326</v>
      </c>
    </row>
    <row r="183" spans="2:11" ht="15.75">
      <c r="B183" s="164"/>
      <c r="C183" s="164"/>
      <c r="D183" s="164" t="s">
        <v>327</v>
      </c>
      <c r="E183" s="164"/>
      <c r="F183" s="164"/>
      <c r="G183" s="164"/>
      <c r="H183" s="164"/>
      <c r="I183" s="164"/>
      <c r="J183" s="164" t="s">
        <v>298</v>
      </c>
      <c r="K183" s="166"/>
    </row>
    <row r="184" spans="2:11" ht="15.75">
      <c r="B184" s="164"/>
      <c r="C184" s="164"/>
      <c r="D184" s="164" t="s">
        <v>328</v>
      </c>
      <c r="E184" s="164"/>
      <c r="F184" s="164"/>
      <c r="G184" s="164"/>
      <c r="H184" s="164"/>
      <c r="I184" s="164"/>
      <c r="J184" s="164" t="s">
        <v>298</v>
      </c>
      <c r="K184" s="166"/>
    </row>
    <row r="185" spans="2:11" ht="15.75">
      <c r="B185" s="164"/>
      <c r="C185" s="164"/>
      <c r="D185" s="164" t="s">
        <v>329</v>
      </c>
      <c r="E185" s="164"/>
      <c r="F185" s="164"/>
      <c r="G185" s="164"/>
      <c r="H185" s="164"/>
      <c r="I185" s="164"/>
      <c r="J185" s="164" t="s">
        <v>298</v>
      </c>
      <c r="K185" s="166"/>
    </row>
    <row r="186" spans="2:11" ht="15.75">
      <c r="B186" s="164"/>
      <c r="C186" s="164"/>
      <c r="D186" s="164"/>
      <c r="E186" s="164"/>
      <c r="F186" s="164"/>
      <c r="G186" s="164"/>
      <c r="H186" s="164"/>
      <c r="I186" s="164"/>
      <c r="J186" s="164"/>
      <c r="K186" s="166"/>
    </row>
    <row r="187" spans="2:11" ht="15.75">
      <c r="B187" s="164"/>
      <c r="C187" s="206" t="s">
        <v>78</v>
      </c>
      <c r="D187" s="214">
        <f aca="true" t="shared" si="3" ref="D187:I190">SUM($G$56,D101,D95)*$H$173*$H$174</f>
        <v>5.172507668885447E-05</v>
      </c>
      <c r="E187" s="214">
        <f t="shared" si="3"/>
        <v>0.0016949002398783408</v>
      </c>
      <c r="F187" s="214">
        <f t="shared" si="3"/>
        <v>0.0003243036080836423</v>
      </c>
      <c r="G187" s="214">
        <f t="shared" si="3"/>
        <v>0.00032343783008877743</v>
      </c>
      <c r="H187" s="214">
        <f t="shared" si="3"/>
        <v>0</v>
      </c>
      <c r="I187" s="214">
        <f t="shared" si="3"/>
        <v>0</v>
      </c>
      <c r="J187" s="164" t="s">
        <v>298</v>
      </c>
      <c r="K187" s="166"/>
    </row>
    <row r="188" spans="2:11" ht="15.75">
      <c r="B188" s="164"/>
      <c r="C188" s="206" t="s">
        <v>80</v>
      </c>
      <c r="D188" s="214">
        <f t="shared" si="3"/>
        <v>1.6306182646554286E-05</v>
      </c>
      <c r="E188" s="214">
        <f t="shared" si="3"/>
        <v>0.0005237370476223801</v>
      </c>
      <c r="F188" s="214">
        <f t="shared" si="3"/>
        <v>9.944853512889847E-05</v>
      </c>
      <c r="G188" s="214">
        <f t="shared" si="3"/>
        <v>0.00011360306401683322</v>
      </c>
      <c r="H188" s="214">
        <f t="shared" si="3"/>
        <v>0</v>
      </c>
      <c r="I188" s="214">
        <f t="shared" si="3"/>
        <v>0</v>
      </c>
      <c r="J188" s="164" t="s">
        <v>298</v>
      </c>
      <c r="K188" s="166"/>
    </row>
    <row r="189" spans="2:11" ht="15.75">
      <c r="B189" s="164"/>
      <c r="C189" s="206" t="s">
        <v>81</v>
      </c>
      <c r="D189" s="214">
        <f t="shared" si="3"/>
        <v>3.570070162147079E-05</v>
      </c>
      <c r="E189" s="214">
        <f t="shared" si="3"/>
        <v>0.001132264935819276</v>
      </c>
      <c r="F189" s="214">
        <f t="shared" si="3"/>
        <v>0.00023120434408605825</v>
      </c>
      <c r="G189" s="214">
        <f t="shared" si="3"/>
        <v>0.00026305647239074133</v>
      </c>
      <c r="H189" s="214">
        <f t="shared" si="3"/>
        <v>0</v>
      </c>
      <c r="I189" s="214">
        <f t="shared" si="3"/>
        <v>0</v>
      </c>
      <c r="J189" s="164" t="s">
        <v>298</v>
      </c>
      <c r="K189" s="166"/>
    </row>
    <row r="190" spans="2:11" ht="15.75">
      <c r="B190" s="164"/>
      <c r="C190" s="206" t="s">
        <v>83</v>
      </c>
      <c r="D190" s="214">
        <f t="shared" si="3"/>
        <v>2.1465595257548282E-05</v>
      </c>
      <c r="E190" s="214">
        <f t="shared" si="3"/>
        <v>0.0006308944894859969</v>
      </c>
      <c r="F190" s="214">
        <f t="shared" si="3"/>
        <v>0.00013371637519234456</v>
      </c>
      <c r="G190" s="214">
        <f t="shared" si="3"/>
        <v>0.00015691648094482734</v>
      </c>
      <c r="H190" s="214">
        <f t="shared" si="3"/>
        <v>0</v>
      </c>
      <c r="I190" s="214">
        <f t="shared" si="3"/>
        <v>0</v>
      </c>
      <c r="J190" s="164" t="s">
        <v>298</v>
      </c>
      <c r="K190" s="166"/>
    </row>
    <row r="191" spans="2:11" ht="15.75">
      <c r="B191" s="164"/>
      <c r="C191" s="164"/>
      <c r="D191" s="164"/>
      <c r="E191" s="164"/>
      <c r="F191" s="164"/>
      <c r="G191" s="164"/>
      <c r="H191" s="164"/>
      <c r="I191" s="164"/>
      <c r="J191" s="164"/>
      <c r="K191" s="166"/>
    </row>
    <row r="192" spans="2:11" ht="15.75">
      <c r="B192" s="167" t="s">
        <v>330</v>
      </c>
      <c r="C192" s="164"/>
      <c r="D192" s="167" t="s">
        <v>259</v>
      </c>
      <c r="E192" s="164"/>
      <c r="F192" s="164"/>
      <c r="G192" s="164"/>
      <c r="H192" s="164"/>
      <c r="I192" s="164"/>
      <c r="J192" s="164"/>
      <c r="K192" s="166" t="s">
        <v>331</v>
      </c>
    </row>
    <row r="193" spans="2:11" ht="15.75">
      <c r="B193" s="164"/>
      <c r="C193" s="164"/>
      <c r="D193" s="164" t="s">
        <v>332</v>
      </c>
      <c r="E193" s="164"/>
      <c r="F193" s="164"/>
      <c r="G193" s="164"/>
      <c r="H193" s="164"/>
      <c r="I193" s="164"/>
      <c r="J193" s="164" t="s">
        <v>213</v>
      </c>
      <c r="K193" s="166"/>
    </row>
    <row r="194" spans="2:11" ht="15.75">
      <c r="B194" s="164"/>
      <c r="C194" s="164"/>
      <c r="D194" s="164" t="s">
        <v>333</v>
      </c>
      <c r="E194" s="164"/>
      <c r="F194" s="164"/>
      <c r="G194" s="164"/>
      <c r="H194" s="164">
        <f>0.0125</f>
        <v>0.0125</v>
      </c>
      <c r="I194" s="164"/>
      <c r="J194" s="164" t="s">
        <v>222</v>
      </c>
      <c r="K194" s="166"/>
    </row>
    <row r="195" spans="2:11" ht="15.75">
      <c r="B195" s="164"/>
      <c r="C195" s="164"/>
      <c r="D195" s="164"/>
      <c r="E195" s="164"/>
      <c r="F195" s="164"/>
      <c r="G195" s="164"/>
      <c r="H195" s="164"/>
      <c r="I195" s="164"/>
      <c r="J195" s="164"/>
      <c r="K195" s="166"/>
    </row>
    <row r="196" spans="2:11" ht="15.75">
      <c r="B196" s="164" t="s">
        <v>297</v>
      </c>
      <c r="C196" s="164"/>
      <c r="D196" s="207" t="s">
        <v>78</v>
      </c>
      <c r="E196" s="174">
        <f>E176*$H$194*$D$17</f>
        <v>0</v>
      </c>
      <c r="F196" s="183"/>
      <c r="G196" s="164"/>
      <c r="H196" s="164"/>
      <c r="I196" s="164"/>
      <c r="J196" s="164" t="s">
        <v>202</v>
      </c>
      <c r="K196" s="166"/>
    </row>
    <row r="197" spans="2:11" ht="15.75">
      <c r="B197" s="164"/>
      <c r="C197" s="164"/>
      <c r="D197" s="209" t="s">
        <v>80</v>
      </c>
      <c r="E197" s="164">
        <f>E177*$H$194*$D$17</f>
        <v>0</v>
      </c>
      <c r="F197" s="185"/>
      <c r="G197" s="164"/>
      <c r="H197" s="164"/>
      <c r="I197" s="164"/>
      <c r="J197" s="164" t="s">
        <v>202</v>
      </c>
      <c r="K197" s="166"/>
    </row>
    <row r="198" spans="2:11" ht="15.75">
      <c r="B198" s="164"/>
      <c r="C198" s="164"/>
      <c r="D198" s="209" t="s">
        <v>81</v>
      </c>
      <c r="E198" s="164">
        <f>E178*$H$194*$D$17</f>
        <v>0</v>
      </c>
      <c r="F198" s="185"/>
      <c r="G198" s="164"/>
      <c r="H198" s="164"/>
      <c r="I198" s="164"/>
      <c r="J198" s="164" t="s">
        <v>202</v>
      </c>
      <c r="K198" s="166"/>
    </row>
    <row r="199" spans="2:11" ht="15.75">
      <c r="B199" s="164"/>
      <c r="C199" s="164"/>
      <c r="D199" s="210" t="s">
        <v>83</v>
      </c>
      <c r="E199" s="176">
        <f>E179*$H$194*$D$17</f>
        <v>0</v>
      </c>
      <c r="F199" s="189"/>
      <c r="G199" s="164"/>
      <c r="H199" s="164"/>
      <c r="I199" s="164"/>
      <c r="J199" s="164" t="s">
        <v>202</v>
      </c>
      <c r="K199" s="166"/>
    </row>
    <row r="200" spans="2:11" ht="15.75">
      <c r="B200" s="164"/>
      <c r="C200" s="164"/>
      <c r="D200" s="164"/>
      <c r="E200" s="164"/>
      <c r="F200" s="164"/>
      <c r="G200" s="164"/>
      <c r="H200" s="164"/>
      <c r="I200" s="164"/>
      <c r="J200" s="164"/>
      <c r="K200" s="166"/>
    </row>
    <row r="201" spans="2:11" ht="15.75">
      <c r="B201" s="164" t="s">
        <v>314</v>
      </c>
      <c r="C201" s="206" t="s">
        <v>78</v>
      </c>
      <c r="D201" s="205">
        <f aca="true" t="shared" si="4" ref="D201:I204">D187*$H$194*$D$17</f>
        <v>1.0160282921024984E-06</v>
      </c>
      <c r="E201" s="205">
        <f t="shared" si="4"/>
        <v>3.329268328332455E-05</v>
      </c>
      <c r="F201" s="205">
        <f t="shared" si="4"/>
        <v>6.370249444500117E-06</v>
      </c>
      <c r="G201" s="205">
        <f t="shared" si="4"/>
        <v>6.353243091029557E-06</v>
      </c>
      <c r="H201" s="205">
        <f t="shared" si="4"/>
        <v>0</v>
      </c>
      <c r="I201" s="205">
        <f t="shared" si="4"/>
        <v>0</v>
      </c>
      <c r="J201" s="164" t="s">
        <v>202</v>
      </c>
      <c r="K201" s="166"/>
    </row>
    <row r="202" spans="2:11" ht="15.75">
      <c r="B202" s="164"/>
      <c r="C202" s="206" t="s">
        <v>80</v>
      </c>
      <c r="D202" s="205">
        <f t="shared" si="4"/>
        <v>3.2030001627160205E-07</v>
      </c>
      <c r="E202" s="205">
        <f t="shared" si="4"/>
        <v>1.0287692006868181E-05</v>
      </c>
      <c r="F202" s="205">
        <f t="shared" si="4"/>
        <v>1.953453368603363E-06</v>
      </c>
      <c r="G202" s="205">
        <f t="shared" si="4"/>
        <v>2.2314887574735095E-06</v>
      </c>
      <c r="H202" s="205">
        <f t="shared" si="4"/>
        <v>0</v>
      </c>
      <c r="I202" s="205">
        <f t="shared" si="4"/>
        <v>0</v>
      </c>
      <c r="J202" s="164" t="s">
        <v>202</v>
      </c>
      <c r="K202" s="166"/>
    </row>
    <row r="203" spans="2:11" ht="15.75">
      <c r="B203" s="164"/>
      <c r="C203" s="206" t="s">
        <v>81</v>
      </c>
      <c r="D203" s="205">
        <f t="shared" si="4"/>
        <v>7.012637818503191E-07</v>
      </c>
      <c r="E203" s="205">
        <f t="shared" si="4"/>
        <v>2.224091838216435E-05</v>
      </c>
      <c r="F203" s="205">
        <f t="shared" si="4"/>
        <v>4.54151390169043E-06</v>
      </c>
      <c r="G203" s="205">
        <f t="shared" si="4"/>
        <v>5.1671807076752765E-06</v>
      </c>
      <c r="H203" s="205">
        <f t="shared" si="4"/>
        <v>0</v>
      </c>
      <c r="I203" s="205">
        <f t="shared" si="4"/>
        <v>0</v>
      </c>
      <c r="J203" s="164" t="s">
        <v>202</v>
      </c>
      <c r="K203" s="166"/>
    </row>
    <row r="204" spans="2:11" ht="15.75">
      <c r="B204" s="164"/>
      <c r="C204" s="206" t="s">
        <v>83</v>
      </c>
      <c r="D204" s="205">
        <f t="shared" si="4"/>
        <v>4.216456211304127E-07</v>
      </c>
      <c r="E204" s="205">
        <f t="shared" si="4"/>
        <v>1.2392570329189226E-05</v>
      </c>
      <c r="F204" s="205">
        <f t="shared" si="4"/>
        <v>2.626571655563911E-06</v>
      </c>
      <c r="G204" s="205">
        <f t="shared" si="4"/>
        <v>3.0822880185591087E-06</v>
      </c>
      <c r="H204" s="205">
        <f t="shared" si="4"/>
        <v>0</v>
      </c>
      <c r="I204" s="205">
        <f t="shared" si="4"/>
        <v>0</v>
      </c>
      <c r="J204" s="164" t="s">
        <v>202</v>
      </c>
      <c r="K204" s="166"/>
    </row>
    <row r="205" spans="2:11" ht="15.75">
      <c r="B205" s="164"/>
      <c r="C205" s="164"/>
      <c r="D205" s="164"/>
      <c r="E205" s="164"/>
      <c r="F205" s="164"/>
      <c r="G205" s="164"/>
      <c r="H205" s="164"/>
      <c r="I205" s="164"/>
      <c r="J205" s="164"/>
      <c r="K205" s="166"/>
    </row>
    <row r="206" spans="2:11" ht="15.75">
      <c r="B206" s="164" t="s">
        <v>231</v>
      </c>
      <c r="C206" s="164"/>
      <c r="D206" s="207" t="s">
        <v>78</v>
      </c>
      <c r="E206" s="215">
        <f>E196+SUM(D201:I201)</f>
        <v>4.7032204110956726E-05</v>
      </c>
      <c r="F206" s="183"/>
      <c r="G206" s="164"/>
      <c r="H206" s="164"/>
      <c r="I206" s="164"/>
      <c r="J206" s="164" t="s">
        <v>202</v>
      </c>
      <c r="K206" s="166"/>
    </row>
    <row r="207" spans="2:11" ht="15.75">
      <c r="B207" s="164"/>
      <c r="C207" s="164"/>
      <c r="D207" s="209" t="s">
        <v>80</v>
      </c>
      <c r="E207" s="216">
        <f>E197+SUM(D202:I202)</f>
        <v>1.4792934149216656E-05</v>
      </c>
      <c r="F207" s="185"/>
      <c r="G207" s="164"/>
      <c r="H207" s="164"/>
      <c r="I207" s="164"/>
      <c r="J207" s="164" t="s">
        <v>202</v>
      </c>
      <c r="K207" s="166"/>
    </row>
    <row r="208" spans="2:11" ht="15.75">
      <c r="B208" s="164"/>
      <c r="C208" s="164"/>
      <c r="D208" s="209" t="s">
        <v>81</v>
      </c>
      <c r="E208" s="216">
        <f>E198+SUM(D203:I203)</f>
        <v>3.2650876773380373E-05</v>
      </c>
      <c r="F208" s="185"/>
      <c r="G208" s="164"/>
      <c r="H208" s="164"/>
      <c r="I208" s="164"/>
      <c r="J208" s="164" t="s">
        <v>202</v>
      </c>
      <c r="K208" s="166"/>
    </row>
    <row r="209" spans="2:11" ht="15.75">
      <c r="B209" s="164"/>
      <c r="C209" s="164"/>
      <c r="D209" s="210" t="s">
        <v>83</v>
      </c>
      <c r="E209" s="217">
        <f>E199+SUM(D204:I204)</f>
        <v>1.8523075624442657E-05</v>
      </c>
      <c r="F209" s="189"/>
      <c r="G209" s="164"/>
      <c r="H209" s="164"/>
      <c r="I209" s="164"/>
      <c r="J209" s="164" t="s">
        <v>202</v>
      </c>
      <c r="K209" s="166"/>
    </row>
    <row r="210" spans="2:11" ht="15.75">
      <c r="B210" s="164"/>
      <c r="C210" s="164"/>
      <c r="D210" s="164"/>
      <c r="E210" s="164"/>
      <c r="F210" s="164"/>
      <c r="G210" s="164"/>
      <c r="H210" s="164"/>
      <c r="I210" s="164"/>
      <c r="J210" s="164"/>
      <c r="K210" s="166"/>
    </row>
    <row r="211" spans="2:11" ht="15.75">
      <c r="B211" s="164"/>
      <c r="C211" s="164"/>
      <c r="D211" s="164"/>
      <c r="E211" s="164"/>
      <c r="F211" s="164"/>
      <c r="G211" s="164"/>
      <c r="H211" s="164"/>
      <c r="I211" s="164"/>
      <c r="J211" s="164"/>
      <c r="K211" s="166"/>
    </row>
    <row r="212" spans="2:11" ht="15.75">
      <c r="B212" s="167" t="s">
        <v>139</v>
      </c>
      <c r="C212" s="164"/>
      <c r="D212" s="214">
        <f>SUM(E206:E209)</f>
        <v>0.00011299909065799642</v>
      </c>
      <c r="E212" s="164"/>
      <c r="F212" s="164"/>
      <c r="G212" s="164"/>
      <c r="H212" s="164"/>
      <c r="I212" s="164"/>
      <c r="J212" s="164" t="s">
        <v>203</v>
      </c>
      <c r="K212" s="166"/>
    </row>
    <row r="213" spans="2:11" ht="15.75">
      <c r="B213" s="167" t="s">
        <v>334</v>
      </c>
      <c r="C213" s="164"/>
      <c r="D213" s="214">
        <f>D212*310</f>
        <v>0.03502971810397889</v>
      </c>
      <c r="E213" s="164"/>
      <c r="F213" s="164"/>
      <c r="G213" s="164"/>
      <c r="H213" s="164"/>
      <c r="I213" s="164"/>
      <c r="J213" s="164" t="s">
        <v>141</v>
      </c>
      <c r="K213" s="166"/>
    </row>
    <row r="214" spans="2:11" ht="15.75">
      <c r="B214" s="164"/>
      <c r="C214" s="164"/>
      <c r="D214" s="164"/>
      <c r="E214" s="164"/>
      <c r="F214" s="164"/>
      <c r="G214" s="164"/>
      <c r="H214" s="164"/>
      <c r="I214" s="164"/>
      <c r="J214" s="164"/>
      <c r="K214" s="166"/>
    </row>
    <row r="215" spans="2:11" ht="15.75">
      <c r="B215" s="164"/>
      <c r="C215" s="164"/>
      <c r="D215" s="164"/>
      <c r="E215" s="164"/>
      <c r="F215" s="164"/>
      <c r="G215" s="164"/>
      <c r="H215" s="164"/>
      <c r="I215" s="164"/>
      <c r="J215" s="164"/>
      <c r="K215" s="166"/>
    </row>
    <row r="216" spans="2:11" ht="15.75">
      <c r="B216" s="167" t="s">
        <v>335</v>
      </c>
      <c r="C216" s="164"/>
      <c r="D216" s="178">
        <f>D167+D213</f>
        <v>0.05371223442610097</v>
      </c>
      <c r="E216" s="164"/>
      <c r="F216" s="164"/>
      <c r="G216" s="164"/>
      <c r="H216" s="164"/>
      <c r="I216" s="164"/>
      <c r="J216" s="164" t="s">
        <v>141</v>
      </c>
      <c r="K216" s="166"/>
    </row>
    <row r="217" spans="2:11" ht="15.75">
      <c r="B217" s="196" t="s">
        <v>335</v>
      </c>
      <c r="C217" s="176"/>
      <c r="D217" s="218">
        <f>D216*10^3</f>
        <v>53.71223442610097</v>
      </c>
      <c r="E217" s="176"/>
      <c r="F217" s="176"/>
      <c r="G217" s="176"/>
      <c r="H217" s="176"/>
      <c r="I217" s="176"/>
      <c r="J217" s="176" t="s">
        <v>142</v>
      </c>
      <c r="K217" s="219"/>
    </row>
  </sheetData>
  <sheetProtection sheet="1"/>
  <printOptions/>
  <pageMargins left="0.7500000000000001" right="0.7500000000000001" top="1" bottom="1" header="0.5" footer="0.5"/>
  <pageSetup fitToHeight="0" fitToWidth="0" orientation="portrait" paperSize="9"/>
  <legacyDrawing r:id="rId2"/>
</worksheet>
</file>

<file path=xl/worksheets/sheet8.xml><?xml version="1.0" encoding="utf-8"?>
<worksheet xmlns="http://schemas.openxmlformats.org/spreadsheetml/2006/main" xmlns:r="http://schemas.openxmlformats.org/officeDocument/2006/relationships">
  <dimension ref="A1:AG31"/>
  <sheetViews>
    <sheetView showGridLines="0" zoomScale="80" zoomScaleNormal="80" zoomScalePageLayoutView="0" workbookViewId="0" topLeftCell="A1">
      <selection activeCell="A1" sqref="A1"/>
    </sheetView>
  </sheetViews>
  <sheetFormatPr defaultColWidth="8.8515625" defaultRowHeight="22.5" customHeight="1"/>
  <cols>
    <col min="1" max="1" width="3.28125" style="78" customWidth="1"/>
    <col min="2" max="2" width="36.57421875" style="78" bestFit="1" customWidth="1"/>
    <col min="3" max="31" width="10.7109375" style="78" customWidth="1"/>
    <col min="32" max="32" width="10.28125" style="78" customWidth="1"/>
    <col min="33" max="33" width="10.7109375" style="78" customWidth="1"/>
    <col min="34" max="34" width="8.8515625" style="78" customWidth="1"/>
    <col min="35" max="16384" width="8.8515625" style="78" customWidth="1"/>
  </cols>
  <sheetData>
    <row r="1" ht="30" customHeight="1">
      <c r="B1" s="82" t="s">
        <v>336</v>
      </c>
    </row>
    <row r="2" ht="15.75" customHeight="1"/>
    <row r="3" spans="2:33" ht="15.75">
      <c r="B3" s="220"/>
      <c r="C3" s="221">
        <v>0</v>
      </c>
      <c r="D3" s="221">
        <f aca="true" t="shared" si="0" ref="D3:AG3">C3+1</f>
        <v>1</v>
      </c>
      <c r="E3" s="221">
        <f t="shared" si="0"/>
        <v>2</v>
      </c>
      <c r="F3" s="221">
        <f t="shared" si="0"/>
        <v>3</v>
      </c>
      <c r="G3" s="221">
        <f t="shared" si="0"/>
        <v>4</v>
      </c>
      <c r="H3" s="221">
        <f t="shared" si="0"/>
        <v>5</v>
      </c>
      <c r="I3" s="221">
        <f t="shared" si="0"/>
        <v>6</v>
      </c>
      <c r="J3" s="221">
        <f t="shared" si="0"/>
        <v>7</v>
      </c>
      <c r="K3" s="221">
        <f t="shared" si="0"/>
        <v>8</v>
      </c>
      <c r="L3" s="221">
        <f t="shared" si="0"/>
        <v>9</v>
      </c>
      <c r="M3" s="221">
        <f t="shared" si="0"/>
        <v>10</v>
      </c>
      <c r="N3" s="221">
        <f t="shared" si="0"/>
        <v>11</v>
      </c>
      <c r="O3" s="221">
        <f t="shared" si="0"/>
        <v>12</v>
      </c>
      <c r="P3" s="221">
        <f t="shared" si="0"/>
        <v>13</v>
      </c>
      <c r="Q3" s="221">
        <f t="shared" si="0"/>
        <v>14</v>
      </c>
      <c r="R3" s="221">
        <f t="shared" si="0"/>
        <v>15</v>
      </c>
      <c r="S3" s="221">
        <f t="shared" si="0"/>
        <v>16</v>
      </c>
      <c r="T3" s="221">
        <f t="shared" si="0"/>
        <v>17</v>
      </c>
      <c r="U3" s="221">
        <f t="shared" si="0"/>
        <v>18</v>
      </c>
      <c r="V3" s="221">
        <f t="shared" si="0"/>
        <v>19</v>
      </c>
      <c r="W3" s="221">
        <f t="shared" si="0"/>
        <v>20</v>
      </c>
      <c r="X3" s="221">
        <f t="shared" si="0"/>
        <v>21</v>
      </c>
      <c r="Y3" s="221">
        <f t="shared" si="0"/>
        <v>22</v>
      </c>
      <c r="Z3" s="221">
        <f t="shared" si="0"/>
        <v>23</v>
      </c>
      <c r="AA3" s="221">
        <f t="shared" si="0"/>
        <v>24</v>
      </c>
      <c r="AB3" s="221">
        <f t="shared" si="0"/>
        <v>25</v>
      </c>
      <c r="AC3" s="221">
        <f t="shared" si="0"/>
        <v>26</v>
      </c>
      <c r="AD3" s="221">
        <f t="shared" si="0"/>
        <v>27</v>
      </c>
      <c r="AE3" s="221">
        <f t="shared" si="0"/>
        <v>28</v>
      </c>
      <c r="AF3" s="221">
        <f t="shared" si="0"/>
        <v>29</v>
      </c>
      <c r="AG3" s="221">
        <f t="shared" si="0"/>
        <v>30</v>
      </c>
    </row>
    <row r="4" spans="2:33" ht="15.75">
      <c r="B4" s="222" t="s">
        <v>337</v>
      </c>
      <c r="C4" s="223">
        <v>0</v>
      </c>
      <c r="D4" s="223">
        <v>2</v>
      </c>
      <c r="E4" s="223">
        <v>5</v>
      </c>
      <c r="F4" s="223">
        <v>19</v>
      </c>
      <c r="G4" s="223">
        <v>41</v>
      </c>
      <c r="H4" s="223">
        <v>68</v>
      </c>
      <c r="I4" s="223">
        <v>98</v>
      </c>
      <c r="J4" s="223">
        <v>128</v>
      </c>
      <c r="K4" s="223">
        <v>159</v>
      </c>
      <c r="L4" s="223">
        <v>188</v>
      </c>
      <c r="M4" s="223">
        <v>217</v>
      </c>
      <c r="N4" s="223">
        <v>244</v>
      </c>
      <c r="O4" s="223">
        <v>269</v>
      </c>
      <c r="P4" s="223">
        <v>293</v>
      </c>
      <c r="Q4" s="223">
        <v>316</v>
      </c>
      <c r="R4" s="223">
        <v>333</v>
      </c>
      <c r="S4" s="223">
        <v>356</v>
      </c>
      <c r="T4" s="223">
        <v>374</v>
      </c>
      <c r="U4" s="223">
        <v>391</v>
      </c>
      <c r="V4" s="223">
        <v>407</v>
      </c>
      <c r="W4" s="223">
        <v>422</v>
      </c>
      <c r="X4" s="223">
        <v>436</v>
      </c>
      <c r="Y4" s="223">
        <v>449</v>
      </c>
      <c r="Z4" s="223">
        <v>461</v>
      </c>
      <c r="AA4" s="223">
        <v>472</v>
      </c>
      <c r="AB4" s="223">
        <v>482</v>
      </c>
      <c r="AC4" s="223">
        <v>492</v>
      </c>
      <c r="AD4" s="223">
        <v>502</v>
      </c>
      <c r="AE4" s="223">
        <v>510</v>
      </c>
      <c r="AF4" s="223">
        <v>518</v>
      </c>
      <c r="AG4" s="223">
        <v>526</v>
      </c>
    </row>
    <row r="5" spans="2:33" ht="15.75">
      <c r="B5" s="222" t="s">
        <v>338</v>
      </c>
      <c r="C5" s="223">
        <v>0</v>
      </c>
      <c r="D5" s="223">
        <v>0</v>
      </c>
      <c r="E5" s="223">
        <v>1</v>
      </c>
      <c r="F5" s="223">
        <v>5</v>
      </c>
      <c r="G5" s="223">
        <v>16</v>
      </c>
      <c r="H5" s="223">
        <v>32</v>
      </c>
      <c r="I5" s="223">
        <v>52</v>
      </c>
      <c r="J5" s="223">
        <v>75</v>
      </c>
      <c r="K5" s="223">
        <v>98</v>
      </c>
      <c r="L5" s="223">
        <v>122</v>
      </c>
      <c r="M5" s="223">
        <v>146</v>
      </c>
      <c r="N5" s="223">
        <v>169</v>
      </c>
      <c r="O5" s="223">
        <v>191</v>
      </c>
      <c r="P5" s="223">
        <v>213</v>
      </c>
      <c r="Q5" s="223">
        <v>234</v>
      </c>
      <c r="R5" s="223">
        <v>254</v>
      </c>
      <c r="S5" s="223">
        <v>272</v>
      </c>
      <c r="T5" s="223">
        <v>290</v>
      </c>
      <c r="U5" s="223">
        <v>306</v>
      </c>
      <c r="V5" s="223">
        <v>322</v>
      </c>
      <c r="W5" s="223">
        <v>337</v>
      </c>
      <c r="X5" s="223">
        <v>351</v>
      </c>
      <c r="Y5" s="223">
        <v>364</v>
      </c>
      <c r="Z5" s="223">
        <v>377</v>
      </c>
      <c r="AA5" s="223">
        <v>388</v>
      </c>
      <c r="AB5" s="223">
        <v>399</v>
      </c>
      <c r="AC5" s="223">
        <v>410</v>
      </c>
      <c r="AD5" s="223">
        <v>420</v>
      </c>
      <c r="AE5" s="223">
        <v>430</v>
      </c>
      <c r="AF5" s="223">
        <v>439</v>
      </c>
      <c r="AG5" s="223">
        <v>447</v>
      </c>
    </row>
    <row r="6" spans="2:33" ht="15.75">
      <c r="B6" s="222" t="s">
        <v>339</v>
      </c>
      <c r="C6" s="223">
        <v>0</v>
      </c>
      <c r="D6" s="223">
        <v>0</v>
      </c>
      <c r="E6" s="223">
        <v>1</v>
      </c>
      <c r="F6" s="223">
        <v>5</v>
      </c>
      <c r="G6" s="223">
        <v>10</v>
      </c>
      <c r="H6" s="223">
        <v>19</v>
      </c>
      <c r="I6" s="223">
        <v>29</v>
      </c>
      <c r="J6" s="223">
        <v>41</v>
      </c>
      <c r="K6" s="223">
        <v>54</v>
      </c>
      <c r="L6" s="223">
        <v>68</v>
      </c>
      <c r="M6" s="223">
        <v>83</v>
      </c>
      <c r="N6" s="223">
        <v>99</v>
      </c>
      <c r="O6" s="223">
        <v>115</v>
      </c>
      <c r="P6" s="223">
        <v>131</v>
      </c>
      <c r="Q6" s="223">
        <v>147</v>
      </c>
      <c r="R6" s="223">
        <v>163</v>
      </c>
      <c r="S6" s="223">
        <v>179</v>
      </c>
      <c r="T6" s="223">
        <v>196</v>
      </c>
      <c r="U6" s="223">
        <v>211</v>
      </c>
      <c r="V6" s="223">
        <v>227</v>
      </c>
      <c r="W6" s="223">
        <v>242</v>
      </c>
      <c r="X6" s="223">
        <v>258</v>
      </c>
      <c r="Y6" s="223">
        <v>273</v>
      </c>
      <c r="Z6" s="223">
        <v>287</v>
      </c>
      <c r="AA6" s="223">
        <v>301</v>
      </c>
      <c r="AB6" s="223">
        <v>316</v>
      </c>
      <c r="AC6" s="223">
        <v>329</v>
      </c>
      <c r="AD6" s="223">
        <v>343</v>
      </c>
      <c r="AE6" s="223">
        <v>356</v>
      </c>
      <c r="AF6" s="223">
        <v>369</v>
      </c>
      <c r="AG6" s="223">
        <v>382</v>
      </c>
    </row>
    <row r="7" spans="2:33" ht="15.75">
      <c r="B7" s="222" t="s">
        <v>340</v>
      </c>
      <c r="C7" s="223">
        <v>0</v>
      </c>
      <c r="D7" s="223">
        <v>0</v>
      </c>
      <c r="E7" s="223">
        <v>0</v>
      </c>
      <c r="F7" s="223">
        <v>0</v>
      </c>
      <c r="G7" s="223">
        <v>1</v>
      </c>
      <c r="H7" s="223">
        <v>3</v>
      </c>
      <c r="I7" s="223">
        <v>6</v>
      </c>
      <c r="J7" s="223">
        <v>10</v>
      </c>
      <c r="K7" s="223">
        <v>16</v>
      </c>
      <c r="L7" s="223">
        <v>23</v>
      </c>
      <c r="M7" s="223">
        <v>32</v>
      </c>
      <c r="N7" s="223">
        <v>42</v>
      </c>
      <c r="O7" s="223">
        <v>53</v>
      </c>
      <c r="P7" s="223">
        <v>65</v>
      </c>
      <c r="Q7" s="223">
        <v>78</v>
      </c>
      <c r="R7" s="223">
        <v>91</v>
      </c>
      <c r="S7" s="223">
        <v>104</v>
      </c>
      <c r="T7" s="223">
        <v>118</v>
      </c>
      <c r="U7" s="223">
        <v>132</v>
      </c>
      <c r="V7" s="223">
        <v>146</v>
      </c>
      <c r="W7" s="223">
        <v>159</v>
      </c>
      <c r="X7" s="223">
        <v>173</v>
      </c>
      <c r="Y7" s="223">
        <v>187</v>
      </c>
      <c r="Z7" s="223">
        <v>201</v>
      </c>
      <c r="AA7" s="223">
        <v>214</v>
      </c>
      <c r="AB7" s="223">
        <v>228</v>
      </c>
      <c r="AC7" s="223">
        <v>241</v>
      </c>
      <c r="AD7" s="223">
        <v>254</v>
      </c>
      <c r="AE7" s="223">
        <v>267</v>
      </c>
      <c r="AF7" s="223">
        <v>279</v>
      </c>
      <c r="AG7" s="223">
        <v>291</v>
      </c>
    </row>
    <row r="8" spans="2:33" ht="15.75">
      <c r="B8" s="224" t="s">
        <v>341</v>
      </c>
      <c r="C8" s="225">
        <v>0</v>
      </c>
      <c r="D8" s="225">
        <v>0</v>
      </c>
      <c r="E8" s="225">
        <v>0</v>
      </c>
      <c r="F8" s="225">
        <v>0</v>
      </c>
      <c r="G8" s="225">
        <v>1</v>
      </c>
      <c r="H8" s="225">
        <v>2</v>
      </c>
      <c r="I8" s="225">
        <v>4</v>
      </c>
      <c r="J8" s="225">
        <v>7</v>
      </c>
      <c r="K8" s="225">
        <v>11</v>
      </c>
      <c r="L8" s="225">
        <v>16</v>
      </c>
      <c r="M8" s="225">
        <v>21</v>
      </c>
      <c r="N8" s="225">
        <v>28</v>
      </c>
      <c r="O8" s="225">
        <v>35</v>
      </c>
      <c r="P8" s="225">
        <v>43</v>
      </c>
      <c r="Q8" s="225">
        <v>52</v>
      </c>
      <c r="R8" s="225">
        <v>60</v>
      </c>
      <c r="S8" s="225">
        <v>69</v>
      </c>
      <c r="T8" s="225">
        <v>78</v>
      </c>
      <c r="U8" s="225">
        <v>87</v>
      </c>
      <c r="V8" s="225">
        <v>97</v>
      </c>
      <c r="W8" s="225">
        <v>106</v>
      </c>
      <c r="X8" s="225">
        <v>115</v>
      </c>
      <c r="Y8" s="225">
        <v>124</v>
      </c>
      <c r="Z8" s="225">
        <v>133</v>
      </c>
      <c r="AA8" s="225">
        <v>142</v>
      </c>
      <c r="AB8" s="225">
        <v>151</v>
      </c>
      <c r="AC8" s="225">
        <v>160</v>
      </c>
      <c r="AD8" s="225">
        <v>168</v>
      </c>
      <c r="AE8" s="225">
        <v>177</v>
      </c>
      <c r="AF8" s="225">
        <v>185</v>
      </c>
      <c r="AG8" s="225">
        <v>193</v>
      </c>
    </row>
    <row r="9" s="33" customFormat="1" ht="15.75">
      <c r="B9" s="226"/>
    </row>
    <row r="10" spans="2:9" ht="15.75">
      <c r="B10" s="220"/>
      <c r="C10" s="220" t="s">
        <v>70</v>
      </c>
      <c r="D10" s="220" t="s">
        <v>342</v>
      </c>
      <c r="E10" s="220" t="s">
        <v>343</v>
      </c>
      <c r="F10" s="220" t="s">
        <v>344</v>
      </c>
      <c r="G10" s="220" t="s">
        <v>345</v>
      </c>
      <c r="H10" s="220" t="s">
        <v>342</v>
      </c>
      <c r="I10" s="220" t="s">
        <v>343</v>
      </c>
    </row>
    <row r="11" spans="2:9" ht="15.75">
      <c r="B11" s="222"/>
      <c r="C11" s="222" t="s">
        <v>346</v>
      </c>
      <c r="D11" s="403" t="s">
        <v>347</v>
      </c>
      <c r="E11" s="403"/>
      <c r="F11" s="227" t="s">
        <v>348</v>
      </c>
      <c r="G11" s="227"/>
      <c r="H11" s="403" t="s">
        <v>349</v>
      </c>
      <c r="I11" s="403"/>
    </row>
    <row r="12" spans="1:9" ht="15.75">
      <c r="A12" s="78">
        <v>1</v>
      </c>
      <c r="B12" s="222" t="s">
        <v>350</v>
      </c>
      <c r="C12" s="222">
        <v>600</v>
      </c>
      <c r="D12" s="222">
        <v>15</v>
      </c>
      <c r="E12" s="222">
        <v>30</v>
      </c>
      <c r="F12" s="222">
        <v>0.43</v>
      </c>
      <c r="G12" s="228">
        <v>0.5</v>
      </c>
      <c r="H12" s="229">
        <f>D12*F12*G12*3.7</f>
        <v>11.932500000000001</v>
      </c>
      <c r="I12" s="229">
        <f>E12*F12*G12*3.7</f>
        <v>23.865000000000002</v>
      </c>
    </row>
    <row r="13" spans="1:9" ht="15.75">
      <c r="A13" s="78">
        <f aca="true" t="shared" si="1" ref="A13:A25">A12+1</f>
        <v>2</v>
      </c>
      <c r="B13" s="223" t="s">
        <v>351</v>
      </c>
      <c r="C13" s="223">
        <v>600</v>
      </c>
      <c r="D13" s="223">
        <v>15</v>
      </c>
      <c r="E13" s="223">
        <v>30</v>
      </c>
      <c r="F13" s="223">
        <v>0.43</v>
      </c>
      <c r="G13" s="230">
        <v>0.5</v>
      </c>
      <c r="H13" s="231">
        <f>D13*F13*G13*3.7</f>
        <v>11.932500000000001</v>
      </c>
      <c r="I13" s="231">
        <f>E13*F13*G13*3.7</f>
        <v>23.865000000000002</v>
      </c>
    </row>
    <row r="14" spans="1:9" ht="15.75">
      <c r="A14" s="78">
        <f t="shared" si="1"/>
        <v>3</v>
      </c>
      <c r="B14" s="222" t="s">
        <v>352</v>
      </c>
      <c r="C14" s="222">
        <f aca="true" t="shared" si="2" ref="C14:I14">AVERAGE(C15:C18)</f>
        <v>775</v>
      </c>
      <c r="D14" s="222">
        <f t="shared" si="2"/>
        <v>15</v>
      </c>
      <c r="E14" s="222">
        <f t="shared" si="2"/>
        <v>32.5</v>
      </c>
      <c r="F14" s="222">
        <f t="shared" si="2"/>
        <v>0.63</v>
      </c>
      <c r="G14" s="222">
        <f t="shared" si="2"/>
        <v>0.5</v>
      </c>
      <c r="H14" s="222">
        <f t="shared" si="2"/>
        <v>17.482499999999998</v>
      </c>
      <c r="I14" s="222">
        <f t="shared" si="2"/>
        <v>37.878750000000004</v>
      </c>
    </row>
    <row r="15" spans="1:9" ht="15.75">
      <c r="A15" s="78">
        <f t="shared" si="1"/>
        <v>4</v>
      </c>
      <c r="B15" s="223" t="s">
        <v>353</v>
      </c>
      <c r="C15" s="223">
        <v>700</v>
      </c>
      <c r="D15" s="223">
        <v>15</v>
      </c>
      <c r="E15" s="223">
        <v>35</v>
      </c>
      <c r="F15" s="223">
        <v>0.63</v>
      </c>
      <c r="G15" s="230">
        <v>0.5</v>
      </c>
      <c r="H15" s="231">
        <f>D15*F15*G15*3.7</f>
        <v>17.482499999999998</v>
      </c>
      <c r="I15" s="231">
        <f>E15*F15*G15*3.7</f>
        <v>40.792500000000004</v>
      </c>
    </row>
    <row r="16" spans="1:9" ht="15.75">
      <c r="A16" s="78">
        <f t="shared" si="1"/>
        <v>5</v>
      </c>
      <c r="B16" s="223" t="s">
        <v>354</v>
      </c>
      <c r="C16" s="223">
        <v>800</v>
      </c>
      <c r="D16" s="223">
        <v>15</v>
      </c>
      <c r="E16" s="223">
        <v>35</v>
      </c>
      <c r="F16" s="223">
        <v>0.63</v>
      </c>
      <c r="G16" s="230">
        <v>0.5</v>
      </c>
      <c r="H16" s="231">
        <f>D16*F16*G16*3.7</f>
        <v>17.482499999999998</v>
      </c>
      <c r="I16" s="231">
        <f>E16*F16*G16*3.7</f>
        <v>40.792500000000004</v>
      </c>
    </row>
    <row r="17" spans="1:9" ht="15.75">
      <c r="A17" s="78">
        <f t="shared" si="1"/>
        <v>6</v>
      </c>
      <c r="B17" s="223" t="s">
        <v>355</v>
      </c>
      <c r="C17" s="223">
        <v>800</v>
      </c>
      <c r="D17" s="223">
        <v>15</v>
      </c>
      <c r="E17" s="223">
        <v>30</v>
      </c>
      <c r="F17" s="223">
        <v>0.63</v>
      </c>
      <c r="G17" s="230">
        <v>0.5</v>
      </c>
      <c r="H17" s="231">
        <f>D17*F17*G17*3.7</f>
        <v>17.482499999999998</v>
      </c>
      <c r="I17" s="231">
        <f>E17*F17*G17*3.7</f>
        <v>34.964999999999996</v>
      </c>
    </row>
    <row r="18" spans="1:9" ht="15.75">
      <c r="A18" s="78">
        <f t="shared" si="1"/>
        <v>7</v>
      </c>
      <c r="B18" s="223" t="s">
        <v>356</v>
      </c>
      <c r="C18" s="223">
        <v>800</v>
      </c>
      <c r="D18" s="223">
        <v>15</v>
      </c>
      <c r="E18" s="223">
        <v>30</v>
      </c>
      <c r="F18" s="223">
        <v>0.63</v>
      </c>
      <c r="G18" s="230">
        <v>0.5</v>
      </c>
      <c r="H18" s="231">
        <f>D18*F18*G18*3.7</f>
        <v>17.482499999999998</v>
      </c>
      <c r="I18" s="231">
        <f>E18*F18*G18*3.7</f>
        <v>34.964999999999996</v>
      </c>
    </row>
    <row r="19" spans="1:9" ht="15.75">
      <c r="A19" s="78">
        <f t="shared" si="1"/>
        <v>8</v>
      </c>
      <c r="B19" s="223" t="s">
        <v>357</v>
      </c>
      <c r="C19" s="223">
        <v>600</v>
      </c>
      <c r="D19" s="223">
        <v>8</v>
      </c>
      <c r="E19" s="223">
        <v>20</v>
      </c>
      <c r="F19" s="223">
        <v>0.63</v>
      </c>
      <c r="G19" s="230">
        <v>0.5</v>
      </c>
      <c r="H19" s="231">
        <f>D19*F19*G19*3.7</f>
        <v>9.324</v>
      </c>
      <c r="I19" s="231">
        <f>E19*F19*G19*3.7</f>
        <v>23.31</v>
      </c>
    </row>
    <row r="20" spans="1:9" ht="15.75">
      <c r="A20" s="78">
        <f t="shared" si="1"/>
        <v>9</v>
      </c>
      <c r="B20" s="222" t="s">
        <v>358</v>
      </c>
      <c r="C20" s="222">
        <f aca="true" t="shared" si="3" ref="C20:I20">AVERAGE(C21:C25)</f>
        <v>530</v>
      </c>
      <c r="D20" s="222">
        <f t="shared" si="3"/>
        <v>3</v>
      </c>
      <c r="E20" s="222">
        <f t="shared" si="3"/>
        <v>8.8</v>
      </c>
      <c r="F20" s="222">
        <f t="shared" si="3"/>
        <v>0.63</v>
      </c>
      <c r="G20" s="222">
        <f t="shared" si="3"/>
        <v>0.5</v>
      </c>
      <c r="H20" s="222">
        <f t="shared" si="3"/>
        <v>3.4964999999999997</v>
      </c>
      <c r="I20" s="222">
        <f t="shared" si="3"/>
        <v>10.2564</v>
      </c>
    </row>
    <row r="21" spans="1:9" ht="15.75">
      <c r="A21" s="78">
        <f t="shared" si="1"/>
        <v>10</v>
      </c>
      <c r="B21" s="223" t="s">
        <v>359</v>
      </c>
      <c r="C21" s="223">
        <v>750</v>
      </c>
      <c r="D21" s="223">
        <v>4</v>
      </c>
      <c r="E21" s="223">
        <v>10</v>
      </c>
      <c r="F21" s="223">
        <v>0.63</v>
      </c>
      <c r="G21" s="230">
        <v>0.5</v>
      </c>
      <c r="H21" s="231">
        <f>D21*F21*G21*3.7</f>
        <v>4.662</v>
      </c>
      <c r="I21" s="231">
        <f>E21*F21*G21*3.7</f>
        <v>11.655</v>
      </c>
    </row>
    <row r="22" spans="1:9" ht="15.75">
      <c r="A22" s="78">
        <f t="shared" si="1"/>
        <v>11</v>
      </c>
      <c r="B22" s="223" t="s">
        <v>360</v>
      </c>
      <c r="C22" s="223">
        <v>500</v>
      </c>
      <c r="D22" s="223">
        <v>5</v>
      </c>
      <c r="E22" s="223">
        <v>10</v>
      </c>
      <c r="F22" s="223">
        <v>0.63</v>
      </c>
      <c r="G22" s="230">
        <v>0.5</v>
      </c>
      <c r="H22" s="231">
        <f>D22*F22*G22*3.7</f>
        <v>5.8275</v>
      </c>
      <c r="I22" s="231">
        <f>E22*F22*G22*3.7</f>
        <v>11.655</v>
      </c>
    </row>
    <row r="23" spans="1:9" ht="15.75">
      <c r="A23" s="78">
        <f t="shared" si="1"/>
        <v>12</v>
      </c>
      <c r="B23" s="223" t="s">
        <v>361</v>
      </c>
      <c r="C23" s="223">
        <v>500</v>
      </c>
      <c r="D23" s="223">
        <v>2</v>
      </c>
      <c r="E23" s="223">
        <v>8</v>
      </c>
      <c r="F23" s="223">
        <v>0.63</v>
      </c>
      <c r="G23" s="230">
        <v>0.5</v>
      </c>
      <c r="H23" s="231">
        <f>D23*F23*G23*3.7</f>
        <v>2.331</v>
      </c>
      <c r="I23" s="231">
        <f>E23*F23*G23*3.7</f>
        <v>9.324</v>
      </c>
    </row>
    <row r="24" spans="1:9" ht="15.75">
      <c r="A24" s="78">
        <f t="shared" si="1"/>
        <v>13</v>
      </c>
      <c r="B24" s="223" t="s">
        <v>362</v>
      </c>
      <c r="C24" s="223">
        <v>400</v>
      </c>
      <c r="D24" s="223">
        <v>2</v>
      </c>
      <c r="E24" s="223">
        <v>8</v>
      </c>
      <c r="F24" s="223">
        <v>0.63</v>
      </c>
      <c r="G24" s="230">
        <v>0.5</v>
      </c>
      <c r="H24" s="231">
        <f>D24*F24*G24*3.7</f>
        <v>2.331</v>
      </c>
      <c r="I24" s="231">
        <f>E24*F24*G24*3.7</f>
        <v>9.324</v>
      </c>
    </row>
    <row r="25" spans="1:9" ht="15.75">
      <c r="A25" s="78">
        <f t="shared" si="1"/>
        <v>14</v>
      </c>
      <c r="B25" s="225" t="s">
        <v>363</v>
      </c>
      <c r="C25" s="225">
        <v>500</v>
      </c>
      <c r="D25" s="225">
        <v>2</v>
      </c>
      <c r="E25" s="225">
        <v>8</v>
      </c>
      <c r="F25" s="225">
        <v>0.63</v>
      </c>
      <c r="G25" s="232">
        <v>0.5</v>
      </c>
      <c r="H25" s="233">
        <f>D25*F25*G25*3.7</f>
        <v>2.331</v>
      </c>
      <c r="I25" s="233">
        <f>E25*F25*G25*3.7</f>
        <v>9.324</v>
      </c>
    </row>
    <row r="26" spans="2:9" ht="15.75">
      <c r="B26" s="221"/>
      <c r="C26" s="221"/>
      <c r="D26" s="221"/>
      <c r="E26" s="221"/>
      <c r="F26" s="221"/>
      <c r="G26" s="221"/>
      <c r="H26" s="221"/>
      <c r="I26" s="221"/>
    </row>
    <row r="27" spans="2:9" ht="15.75">
      <c r="B27" s="221" t="s">
        <v>364</v>
      </c>
      <c r="C27" s="221" t="s">
        <v>349</v>
      </c>
      <c r="D27" s="221"/>
      <c r="E27" s="404" t="s">
        <v>365</v>
      </c>
      <c r="F27" s="404"/>
      <c r="G27" s="221"/>
      <c r="H27" s="221"/>
      <c r="I27" s="221"/>
    </row>
    <row r="28" spans="1:9" ht="15.75">
      <c r="A28" s="78">
        <v>1</v>
      </c>
      <c r="B28" s="223" t="s">
        <v>366</v>
      </c>
      <c r="C28" s="223" t="b">
        <f>IF('Data summary'!C23=1,Trees!F28)</f>
        <v>0</v>
      </c>
      <c r="D28" s="223"/>
      <c r="E28" s="223">
        <f>VLOOKUP('Data summary'!C22,Trees!A12:I25,8,FALSE)</f>
        <v>2.331</v>
      </c>
      <c r="F28" s="223">
        <f>VLOOKUP('Data summary'!C22,Trees!A12:I25,9,FALSE)</f>
        <v>9.324</v>
      </c>
      <c r="G28" s="223"/>
      <c r="H28" s="223"/>
      <c r="I28" s="223"/>
    </row>
    <row r="29" spans="1:9" ht="15.75">
      <c r="A29" s="78">
        <v>2</v>
      </c>
      <c r="B29" s="223" t="s">
        <v>367</v>
      </c>
      <c r="C29" s="223">
        <f>IF('Data summary'!C23=2,AVERAGE(Trees!F28,Trees!E28))</f>
        <v>5.8275</v>
      </c>
      <c r="D29" s="223"/>
      <c r="E29" s="223"/>
      <c r="F29" s="222">
        <f>AVERAGE(C28:C30)</f>
        <v>5.8275</v>
      </c>
      <c r="G29" s="223"/>
      <c r="H29" s="223"/>
      <c r="I29" s="223"/>
    </row>
    <row r="30" spans="1:9" ht="15.75">
      <c r="A30" s="78">
        <v>3</v>
      </c>
      <c r="B30" s="225" t="s">
        <v>368</v>
      </c>
      <c r="C30" s="225" t="b">
        <f>IF('Data summary'!C23=3,Trees!E28)</f>
        <v>0</v>
      </c>
      <c r="D30" s="225"/>
      <c r="E30" s="225"/>
      <c r="F30" s="225"/>
      <c r="G30" s="225"/>
      <c r="H30" s="225"/>
      <c r="I30" s="225"/>
    </row>
    <row r="31" ht="22.5" customHeight="1">
      <c r="B31" s="79"/>
    </row>
  </sheetData>
  <sheetProtection sheet="1"/>
  <mergeCells count="3">
    <mergeCell ref="D11:E11"/>
    <mergeCell ref="H11:I11"/>
    <mergeCell ref="E27:F27"/>
  </mergeCells>
  <printOptions/>
  <pageMargins left="0.7500000000000001" right="0.7500000000000001" top="1" bottom="1" header="0.5" footer="0.5"/>
  <pageSetup fitToHeight="0" fitToWidth="0" orientation="portrait" paperSize="9"/>
  <drawing r:id="rId1"/>
</worksheet>
</file>

<file path=xl/worksheets/sheet9.xml><?xml version="1.0" encoding="utf-8"?>
<worksheet xmlns="http://schemas.openxmlformats.org/spreadsheetml/2006/main" xmlns:r="http://schemas.openxmlformats.org/officeDocument/2006/relationships">
  <dimension ref="A1:I72"/>
  <sheetViews>
    <sheetView showGridLines="0" zoomScale="80" zoomScaleNormal="80" zoomScalePageLayoutView="0" workbookViewId="0" topLeftCell="A1">
      <selection activeCell="A1" sqref="A1"/>
    </sheetView>
  </sheetViews>
  <sheetFormatPr defaultColWidth="8.8515625" defaultRowHeight="12.75"/>
  <cols>
    <col min="1" max="1" width="3.00390625" style="78" customWidth="1"/>
    <col min="2" max="2" width="38.57421875" style="78" customWidth="1"/>
    <col min="3" max="3" width="17.421875" style="78" bestFit="1" customWidth="1"/>
    <col min="4" max="4" width="10.57421875" style="78" customWidth="1"/>
    <col min="5" max="5" width="11.140625" style="78" customWidth="1"/>
    <col min="6" max="8" width="9.7109375" style="78" bestFit="1" customWidth="1"/>
    <col min="9" max="9" width="12.00390625" style="78" bestFit="1" customWidth="1"/>
    <col min="10" max="10" width="12.00390625" style="78" customWidth="1"/>
    <col min="11" max="11" width="8.8515625" style="78" customWidth="1"/>
    <col min="12" max="12" width="10.7109375" style="78" customWidth="1"/>
    <col min="13" max="13" width="8.8515625" style="78" customWidth="1"/>
    <col min="14" max="16384" width="8.8515625" style="78" customWidth="1"/>
  </cols>
  <sheetData>
    <row r="1" ht="25.5" customHeight="1">
      <c r="B1" s="82" t="s">
        <v>369</v>
      </c>
    </row>
    <row r="2" ht="17.25" customHeight="1">
      <c r="B2" s="234"/>
    </row>
    <row r="3" spans="1:8" ht="15.75">
      <c r="A3" s="235"/>
      <c r="B3" s="236" t="s">
        <v>104</v>
      </c>
      <c r="C3" s="237"/>
      <c r="D3" s="237"/>
      <c r="E3" s="237"/>
      <c r="F3" s="236" t="s">
        <v>38</v>
      </c>
      <c r="G3" s="237"/>
      <c r="H3" s="237"/>
    </row>
    <row r="4" spans="1:8" ht="15.75">
      <c r="A4" s="235"/>
      <c r="B4" s="238" t="s">
        <v>370</v>
      </c>
      <c r="C4" s="238">
        <f>'Data input'!C71</f>
        <v>5000</v>
      </c>
      <c r="D4" s="238"/>
      <c r="E4" s="238"/>
      <c r="F4" s="238" t="s">
        <v>371</v>
      </c>
      <c r="G4" s="238"/>
      <c r="H4" s="238"/>
    </row>
    <row r="5" spans="2:8" ht="15.75">
      <c r="B5" s="238" t="s">
        <v>372</v>
      </c>
      <c r="C5" s="238">
        <v>38.6</v>
      </c>
      <c r="D5" s="238"/>
      <c r="E5" s="238"/>
      <c r="F5" s="238" t="s">
        <v>373</v>
      </c>
      <c r="G5" s="238"/>
      <c r="H5" s="238"/>
    </row>
    <row r="6" spans="2:8" ht="15.75">
      <c r="B6" s="238" t="s">
        <v>374</v>
      </c>
      <c r="C6" s="238">
        <v>99</v>
      </c>
      <c r="D6" s="238"/>
      <c r="E6" s="238"/>
      <c r="F6" s="238" t="s">
        <v>72</v>
      </c>
      <c r="G6" s="238"/>
      <c r="H6" s="238"/>
    </row>
    <row r="7" spans="2:8" ht="15.75">
      <c r="B7" s="238" t="s">
        <v>375</v>
      </c>
      <c r="C7" s="238">
        <v>69.9</v>
      </c>
      <c r="D7" s="238"/>
      <c r="E7" s="238"/>
      <c r="F7" s="238" t="s">
        <v>376</v>
      </c>
      <c r="G7" s="238"/>
      <c r="H7" s="238"/>
    </row>
    <row r="8" spans="2:9" ht="18" customHeight="1">
      <c r="B8" s="238" t="s">
        <v>377</v>
      </c>
      <c r="C8" s="238">
        <f>'Data input'!C72</f>
        <v>43248</v>
      </c>
      <c r="D8" s="238"/>
      <c r="E8" s="238"/>
      <c r="F8" s="238" t="s">
        <v>378</v>
      </c>
      <c r="G8" s="238"/>
      <c r="H8" s="238"/>
      <c r="I8" s="204"/>
    </row>
    <row r="9" spans="2:8" ht="15.75">
      <c r="B9" s="238" t="s">
        <v>379</v>
      </c>
      <c r="C9" s="238">
        <f>VLOOKUP('Data input'!$M$29,'Electicity &amp; Diesel'!A38:E45,5,FALSE)</f>
        <v>0.0014</v>
      </c>
      <c r="D9" s="238"/>
      <c r="E9" s="238"/>
      <c r="F9" s="238" t="s">
        <v>380</v>
      </c>
      <c r="G9" s="238"/>
      <c r="H9" s="238"/>
    </row>
    <row r="10" spans="2:8" ht="15.75">
      <c r="B10" s="238"/>
      <c r="C10" s="238"/>
      <c r="D10" s="238"/>
      <c r="E10" s="238"/>
      <c r="F10" s="238"/>
      <c r="G10" s="238"/>
      <c r="H10" s="238"/>
    </row>
    <row r="11" spans="2:8" ht="15.75">
      <c r="B11" s="239" t="s">
        <v>381</v>
      </c>
      <c r="C11" s="239" t="s">
        <v>382</v>
      </c>
      <c r="D11" s="238"/>
      <c r="E11" s="238"/>
      <c r="F11" s="238"/>
      <c r="G11" s="238"/>
      <c r="H11" s="238"/>
    </row>
    <row r="12" spans="2:8" ht="15.75">
      <c r="B12" s="239"/>
      <c r="C12" s="373" t="s">
        <v>424</v>
      </c>
      <c r="D12" s="238"/>
      <c r="E12" s="238"/>
      <c r="F12" s="238"/>
      <c r="G12" s="238"/>
      <c r="H12" s="238"/>
    </row>
    <row r="13" spans="2:8" ht="15.75">
      <c r="B13" s="239"/>
      <c r="C13" s="373" t="s">
        <v>425</v>
      </c>
      <c r="D13" s="238"/>
      <c r="E13" s="238"/>
      <c r="F13" s="238"/>
      <c r="G13" s="238"/>
      <c r="H13" s="238"/>
    </row>
    <row r="14" spans="2:8" ht="15.75">
      <c r="B14" s="239"/>
      <c r="C14" s="373" t="s">
        <v>426</v>
      </c>
      <c r="D14" s="238"/>
      <c r="E14" s="238"/>
      <c r="F14" s="238"/>
      <c r="G14" s="238"/>
      <c r="H14" s="238"/>
    </row>
    <row r="15" spans="2:8" ht="15.75">
      <c r="B15" s="239"/>
      <c r="C15" s="373" t="s">
        <v>423</v>
      </c>
      <c r="D15" s="238"/>
      <c r="E15" s="238"/>
      <c r="F15" s="238"/>
      <c r="G15" s="238"/>
      <c r="H15" s="238"/>
    </row>
    <row r="16" spans="2:8" ht="15.75">
      <c r="B16" s="239"/>
      <c r="C16" s="239"/>
      <c r="D16" s="238"/>
      <c r="E16" s="238"/>
      <c r="F16" s="238"/>
      <c r="G16" s="238"/>
      <c r="H16" s="238"/>
    </row>
    <row r="17" spans="2:8" ht="15.75">
      <c r="B17" s="238"/>
      <c r="C17" s="240">
        <f>C4*C5*C6%*C7*10^-6</f>
        <v>13.355793000000002</v>
      </c>
      <c r="D17" s="238"/>
      <c r="E17" s="238"/>
      <c r="F17" s="238" t="s">
        <v>383</v>
      </c>
      <c r="G17" s="238"/>
      <c r="H17" s="238"/>
    </row>
    <row r="18" spans="2:8" ht="15.75">
      <c r="B18" s="238"/>
      <c r="C18" s="238"/>
      <c r="D18" s="238"/>
      <c r="E18" s="238"/>
      <c r="F18" s="238"/>
      <c r="G18" s="238"/>
      <c r="H18" s="238"/>
    </row>
    <row r="19" spans="2:8" ht="15.75">
      <c r="B19" s="241" t="s">
        <v>384</v>
      </c>
      <c r="C19" s="242"/>
      <c r="D19" s="242"/>
      <c r="E19" s="242"/>
      <c r="F19" s="242" t="s">
        <v>385</v>
      </c>
      <c r="G19" s="242"/>
      <c r="H19" s="243"/>
    </row>
    <row r="20" spans="2:8" ht="15.75">
      <c r="B20" s="244"/>
      <c r="C20" s="245" t="s">
        <v>386</v>
      </c>
      <c r="D20" s="245" t="s">
        <v>387</v>
      </c>
      <c r="E20" s="245" t="s">
        <v>388</v>
      </c>
      <c r="F20" s="245" t="s">
        <v>389</v>
      </c>
      <c r="G20" s="245" t="s">
        <v>390</v>
      </c>
      <c r="H20" s="246" t="s">
        <v>391</v>
      </c>
    </row>
    <row r="21" spans="2:8" ht="15.75">
      <c r="B21" s="247"/>
      <c r="C21" s="248">
        <v>0.01</v>
      </c>
      <c r="D21" s="248">
        <v>0.002</v>
      </c>
      <c r="E21" s="248">
        <v>1.36</v>
      </c>
      <c r="F21" s="248">
        <v>0.541</v>
      </c>
      <c r="G21" s="248">
        <v>0.189</v>
      </c>
      <c r="H21" s="249">
        <v>0.116</v>
      </c>
    </row>
    <row r="22" spans="2:8" ht="15.75">
      <c r="B22" s="238"/>
      <c r="C22" s="238"/>
      <c r="D22" s="238"/>
      <c r="E22" s="238"/>
      <c r="F22" s="238"/>
      <c r="G22" s="238"/>
      <c r="H22" s="238"/>
    </row>
    <row r="23" spans="2:8" ht="15.75">
      <c r="B23" s="239" t="s">
        <v>392</v>
      </c>
      <c r="C23" s="238"/>
      <c r="D23" s="238"/>
      <c r="E23" s="238"/>
      <c r="F23" s="238" t="s">
        <v>393</v>
      </c>
      <c r="G23" s="238"/>
      <c r="H23" s="238"/>
    </row>
    <row r="24" spans="2:8" ht="15.75">
      <c r="B24" s="238"/>
      <c r="C24" s="250">
        <f aca="true" t="shared" si="0" ref="C24:H24">$C$4*$C$5*$C$6%*C21*10^-6</f>
        <v>0.0019107</v>
      </c>
      <c r="D24" s="250">
        <f t="shared" si="0"/>
        <v>0.00038213999999999994</v>
      </c>
      <c r="E24" s="250">
        <f t="shared" si="0"/>
        <v>0.2598552</v>
      </c>
      <c r="F24" s="250">
        <f t="shared" si="0"/>
        <v>0.10336887</v>
      </c>
      <c r="G24" s="250">
        <f t="shared" si="0"/>
        <v>0.03611223</v>
      </c>
      <c r="H24" s="250">
        <f t="shared" si="0"/>
        <v>0.022164120000000002</v>
      </c>
    </row>
    <row r="25" spans="2:8" ht="15.75">
      <c r="B25" s="238"/>
      <c r="C25" s="238"/>
      <c r="D25" s="238"/>
      <c r="E25" s="238"/>
      <c r="F25" s="238"/>
      <c r="G25" s="238"/>
      <c r="H25" s="238"/>
    </row>
    <row r="26" spans="2:8" ht="15.75">
      <c r="B26" s="239" t="s">
        <v>394</v>
      </c>
      <c r="C26" s="240">
        <f>SUM(C17,C24:H24)</f>
        <v>13.779586260000002</v>
      </c>
      <c r="D26" s="238"/>
      <c r="E26" s="238"/>
      <c r="F26" s="250" t="s">
        <v>393</v>
      </c>
      <c r="G26" s="238"/>
      <c r="H26" s="238"/>
    </row>
    <row r="27" spans="2:8" ht="15.75">
      <c r="B27" s="238"/>
      <c r="C27" s="238"/>
      <c r="D27" s="238"/>
      <c r="E27" s="238"/>
      <c r="F27" s="238"/>
      <c r="G27" s="238"/>
      <c r="H27" s="238"/>
    </row>
    <row r="28" spans="1:8" ht="15.75">
      <c r="A28" s="251"/>
      <c r="B28" s="239" t="s">
        <v>395</v>
      </c>
      <c r="C28" s="252" t="s">
        <v>396</v>
      </c>
      <c r="D28" s="238"/>
      <c r="E28" s="238"/>
      <c r="F28" s="238"/>
      <c r="G28" s="238"/>
      <c r="H28" s="238"/>
    </row>
    <row r="29" spans="1:8" ht="15.75">
      <c r="A29" s="251"/>
      <c r="B29" s="239"/>
      <c r="C29" s="374" t="s">
        <v>427</v>
      </c>
      <c r="D29" s="238"/>
      <c r="E29" s="238"/>
      <c r="F29" s="238"/>
      <c r="G29" s="238"/>
      <c r="H29" s="238"/>
    </row>
    <row r="30" spans="1:8" ht="15.75">
      <c r="A30" s="251"/>
      <c r="B30" s="239"/>
      <c r="C30" s="374" t="s">
        <v>423</v>
      </c>
      <c r="D30" s="238"/>
      <c r="E30" s="238"/>
      <c r="F30" s="238"/>
      <c r="G30" s="238"/>
      <c r="H30" s="238"/>
    </row>
    <row r="31" spans="1:8" ht="15.75">
      <c r="A31" s="251"/>
      <c r="B31" s="239"/>
      <c r="C31" s="252"/>
      <c r="D31" s="238"/>
      <c r="E31" s="238"/>
      <c r="F31" s="238"/>
      <c r="G31" s="238"/>
      <c r="H31" s="238"/>
    </row>
    <row r="32" spans="2:8" ht="15.75">
      <c r="B32" s="238"/>
      <c r="C32" s="240">
        <f>C8*C9</f>
        <v>60.5472</v>
      </c>
      <c r="D32" s="250"/>
      <c r="E32" s="253"/>
      <c r="F32" s="250" t="s">
        <v>393</v>
      </c>
      <c r="G32" s="238"/>
      <c r="H32" s="238"/>
    </row>
    <row r="33" spans="2:8" ht="15.75">
      <c r="B33" s="238"/>
      <c r="C33" s="238"/>
      <c r="D33" s="238"/>
      <c r="E33" s="238"/>
      <c r="F33" s="250"/>
      <c r="G33" s="238"/>
      <c r="H33" s="238"/>
    </row>
    <row r="34" spans="2:8" ht="15.75">
      <c r="B34" s="239" t="s">
        <v>397</v>
      </c>
      <c r="C34" s="240">
        <f>C26+C32</f>
        <v>74.32678626</v>
      </c>
      <c r="D34" s="238"/>
      <c r="E34" s="238"/>
      <c r="F34" s="250" t="s">
        <v>393</v>
      </c>
      <c r="G34" s="238"/>
      <c r="H34" s="238"/>
    </row>
    <row r="35" spans="2:8" ht="15.75">
      <c r="B35" s="238"/>
      <c r="C35" s="238"/>
      <c r="D35" s="238"/>
      <c r="E35" s="238"/>
      <c r="F35" s="238"/>
      <c r="G35" s="238"/>
      <c r="H35" s="238"/>
    </row>
    <row r="36" spans="2:8" ht="15.75">
      <c r="B36" s="375" t="s">
        <v>398</v>
      </c>
      <c r="C36" s="376"/>
      <c r="D36" s="376"/>
      <c r="E36" s="377"/>
      <c r="F36" s="238"/>
      <c r="G36" s="238"/>
      <c r="H36" s="238"/>
    </row>
    <row r="37" spans="2:8" ht="15.75">
      <c r="B37" s="254" t="s">
        <v>399</v>
      </c>
      <c r="C37" s="255" t="s">
        <v>400</v>
      </c>
      <c r="D37" s="255" t="s">
        <v>401</v>
      </c>
      <c r="E37" s="256" t="s">
        <v>402</v>
      </c>
      <c r="F37" s="238"/>
      <c r="G37" s="238"/>
      <c r="H37" s="238"/>
    </row>
    <row r="38" spans="1:8" ht="15.75">
      <c r="A38" s="78">
        <v>1</v>
      </c>
      <c r="B38" s="257" t="s">
        <v>403</v>
      </c>
      <c r="C38" s="258">
        <v>30</v>
      </c>
      <c r="D38" s="258">
        <v>1000</v>
      </c>
      <c r="E38" s="259">
        <f aca="true" t="shared" si="1" ref="E38:E45">D38*10^-6</f>
        <v>0.001</v>
      </c>
      <c r="F38" s="260"/>
      <c r="G38" s="238"/>
      <c r="H38" s="238"/>
    </row>
    <row r="39" spans="1:8" ht="15.75">
      <c r="A39" s="78">
        <v>2</v>
      </c>
      <c r="B39" s="257" t="s">
        <v>404</v>
      </c>
      <c r="C39" s="258">
        <v>25</v>
      </c>
      <c r="D39" s="258">
        <v>1400</v>
      </c>
      <c r="E39" s="259">
        <f t="shared" si="1"/>
        <v>0.0014</v>
      </c>
      <c r="F39" s="238"/>
      <c r="G39" s="238"/>
      <c r="H39" s="238"/>
    </row>
    <row r="40" spans="1:8" ht="15.75">
      <c r="A40" s="78">
        <v>3</v>
      </c>
      <c r="B40" s="257" t="s">
        <v>405</v>
      </c>
      <c r="C40" s="258">
        <v>30</v>
      </c>
      <c r="D40" s="258">
        <v>1080</v>
      </c>
      <c r="E40" s="259">
        <f t="shared" si="1"/>
        <v>0.00108</v>
      </c>
      <c r="F40" s="238"/>
      <c r="G40" s="238"/>
      <c r="H40" s="238"/>
    </row>
    <row r="41" spans="1:8" ht="15.75">
      <c r="A41" s="78">
        <v>4</v>
      </c>
      <c r="B41" s="257" t="s">
        <v>406</v>
      </c>
      <c r="C41" s="260">
        <v>5.9</v>
      </c>
      <c r="D41" s="260">
        <v>510</v>
      </c>
      <c r="E41" s="261">
        <f t="shared" si="1"/>
        <v>0.0005099999999999999</v>
      </c>
      <c r="F41" s="238"/>
      <c r="G41" s="238"/>
      <c r="H41" s="238"/>
    </row>
    <row r="42" spans="1:8" ht="15.75">
      <c r="A42" s="78">
        <v>5</v>
      </c>
      <c r="B42" s="257" t="s">
        <v>407</v>
      </c>
      <c r="C42" s="260">
        <v>37.55</v>
      </c>
      <c r="D42" s="260">
        <v>494</v>
      </c>
      <c r="E42" s="261">
        <f t="shared" si="1"/>
        <v>0.000494</v>
      </c>
      <c r="F42" s="238"/>
      <c r="G42" s="238"/>
      <c r="H42" s="238"/>
    </row>
    <row r="43" spans="1:8" ht="15.75">
      <c r="A43" s="78">
        <v>6</v>
      </c>
      <c r="B43" s="257" t="s">
        <v>408</v>
      </c>
      <c r="C43" s="260">
        <v>37</v>
      </c>
      <c r="D43" s="260">
        <v>681</v>
      </c>
      <c r="E43" s="261">
        <f t="shared" si="1"/>
        <v>0.000681</v>
      </c>
      <c r="F43" s="238"/>
      <c r="G43" s="238"/>
      <c r="H43" s="238"/>
    </row>
    <row r="44" spans="1:8" ht="15.75">
      <c r="A44" s="78">
        <v>7</v>
      </c>
      <c r="B44" s="257" t="s">
        <v>409</v>
      </c>
      <c r="C44" s="260">
        <v>83.8</v>
      </c>
      <c r="D44" s="260">
        <v>314</v>
      </c>
      <c r="E44" s="261">
        <f t="shared" si="1"/>
        <v>0.000314</v>
      </c>
      <c r="F44" s="238"/>
      <c r="G44" s="238"/>
      <c r="H44" s="238"/>
    </row>
    <row r="45" spans="1:8" ht="15.75">
      <c r="A45" s="78">
        <v>8</v>
      </c>
      <c r="B45" s="262" t="s">
        <v>410</v>
      </c>
      <c r="C45" s="263"/>
      <c r="D45" s="264">
        <v>0</v>
      </c>
      <c r="E45" s="265">
        <f t="shared" si="1"/>
        <v>0</v>
      </c>
      <c r="F45" s="238"/>
      <c r="G45" s="238"/>
      <c r="H45" s="238"/>
    </row>
    <row r="72" ht="15.75">
      <c r="G72" s="234"/>
    </row>
  </sheetData>
  <sheetProtection sheet="1"/>
  <printOptions/>
  <pageMargins left="0.7500000000000001" right="0.7500000000000001" top="1" bottom="1" header="0.5" footer="0.5"/>
  <pageSetup fitToHeight="0" fitToWidth="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Richard J Eckard</dc:creator>
  <cp:keywords/>
  <dc:description/>
  <cp:lastModifiedBy>Richard Eckard</cp:lastModifiedBy>
  <cp:lastPrinted>2011-07-06T04:40:02Z</cp:lastPrinted>
  <dcterms:created xsi:type="dcterms:W3CDTF">2001-05-18T05:48:59Z</dcterms:created>
  <dcterms:modified xsi:type="dcterms:W3CDTF">2013-11-24T22:50:27Z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