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rjeckard\Downloads\"/>
    </mc:Choice>
  </mc:AlternateContent>
  <xr:revisionPtr revIDLastSave="0" documentId="13_ncr:1_{7FA8DA41-637E-46FC-B80F-3BC9FF1FB378}" xr6:coauthVersionLast="44" xr6:coauthVersionMax="44" xr10:uidLastSave="{00000000-0000-0000-0000-000000000000}"/>
  <bookViews>
    <workbookView xWindow="-98" yWindow="-98" windowWidth="20715" windowHeight="13276" xr2:uid="{00000000-000D-0000-FFFF-FFFF00000000}"/>
  </bookViews>
  <sheets>
    <sheet name="Data summary" sheetId="2" r:id="rId1"/>
    <sheet name="Data input" sheetId="3" r:id="rId2"/>
    <sheet name="Enteric fermentation" sheetId="4" r:id="rId3"/>
    <sheet name="Manure management" sheetId="5" r:id="rId4"/>
    <sheet name="Nitrous Oxide_MMS" sheetId="6" r:id="rId5"/>
    <sheet name="Agricultural soils" sheetId="15" r:id="rId6"/>
    <sheet name="Liming" sheetId="11" r:id="rId7"/>
    <sheet name="Urea Application" sheetId="14" r:id="rId8"/>
    <sheet name="Electicity &amp; Diesel" sheetId="9" r:id="rId9"/>
    <sheet name="Transport" sheetId="12" r:id="rId10"/>
    <sheet name="GWP" sheetId="13" r:id="rId11"/>
  </sheets>
  <definedNames>
    <definedName name="_xlnm.Print_Area" localSheetId="1">'Data input'!$B$1:$I$55</definedName>
    <definedName name="_xlnm.Print_Area" localSheetId="0">'Data summary'!$B$2:$N$32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02" i="3" l="1"/>
  <c r="H185" i="15"/>
  <c r="H186" i="15" s="1"/>
  <c r="H209" i="15" s="1"/>
  <c r="J110" i="15"/>
  <c r="J109" i="15"/>
  <c r="J108" i="15"/>
  <c r="J107" i="15"/>
  <c r="H106" i="15"/>
  <c r="G106" i="15"/>
  <c r="J102" i="15"/>
  <c r="J101" i="15"/>
  <c r="J100" i="15"/>
  <c r="J99" i="15"/>
  <c r="J98" i="15"/>
  <c r="J106" i="15" s="1"/>
  <c r="I98" i="15"/>
  <c r="I106" i="15" s="1"/>
  <c r="H98" i="15"/>
  <c r="G98" i="15"/>
  <c r="F98" i="15"/>
  <c r="F106" i="15" s="1"/>
  <c r="E98" i="15"/>
  <c r="E106" i="15" s="1"/>
  <c r="D98" i="15"/>
  <c r="D106" i="15" s="1"/>
  <c r="J96" i="15"/>
  <c r="I96" i="15"/>
  <c r="H96" i="15"/>
  <c r="G96" i="15"/>
  <c r="F96" i="15"/>
  <c r="E96" i="15"/>
  <c r="D96" i="15"/>
  <c r="J95" i="15"/>
  <c r="I95" i="15"/>
  <c r="H95" i="15"/>
  <c r="G95" i="15"/>
  <c r="F95" i="15"/>
  <c r="E95" i="15"/>
  <c r="D95" i="15"/>
  <c r="J94" i="15"/>
  <c r="I94" i="15"/>
  <c r="H94" i="15"/>
  <c r="G94" i="15"/>
  <c r="F94" i="15"/>
  <c r="E94" i="15"/>
  <c r="D94" i="15"/>
  <c r="J93" i="15"/>
  <c r="I93" i="15"/>
  <c r="H93" i="15"/>
  <c r="G93" i="15"/>
  <c r="F93" i="15"/>
  <c r="E93" i="15"/>
  <c r="D93" i="15"/>
  <c r="I92" i="15"/>
  <c r="H92" i="15"/>
  <c r="G92" i="15"/>
  <c r="F92" i="15"/>
  <c r="E92" i="15"/>
  <c r="D92" i="15"/>
  <c r="C32" i="15"/>
  <c r="D29" i="15" s="1"/>
  <c r="D63" i="15" s="1"/>
  <c r="C31" i="15"/>
  <c r="F23" i="15" s="1"/>
  <c r="F30" i="15"/>
  <c r="F64" i="15" s="1"/>
  <c r="D30" i="15"/>
  <c r="D64" i="15" s="1"/>
  <c r="F29" i="15"/>
  <c r="F63" i="15" s="1"/>
  <c r="D27" i="15"/>
  <c r="D61" i="15" s="1"/>
  <c r="F26" i="15"/>
  <c r="F25" i="15"/>
  <c r="F24" i="15"/>
  <c r="D15" i="15"/>
  <c r="D22" i="15"/>
  <c r="D48" i="15" s="1"/>
  <c r="D126" i="15" s="1"/>
  <c r="D21" i="15"/>
  <c r="D47" i="15" s="1"/>
  <c r="D125" i="15" s="1"/>
  <c r="D20" i="15"/>
  <c r="K14" i="15"/>
  <c r="K6" i="15"/>
  <c r="K5" i="15"/>
  <c r="H187" i="15"/>
  <c r="D190" i="15" l="1"/>
  <c r="D220" i="15"/>
  <c r="D246" i="15" s="1"/>
  <c r="D195" i="15"/>
  <c r="D230" i="15" s="1"/>
  <c r="J97" i="15"/>
  <c r="F19" i="15"/>
  <c r="F27" i="15"/>
  <c r="F20" i="15"/>
  <c r="F46" i="15" s="1"/>
  <c r="F124" i="15" s="1"/>
  <c r="D28" i="15"/>
  <c r="D62" i="15" s="1"/>
  <c r="D136" i="15" s="1"/>
  <c r="D164" i="15" s="1"/>
  <c r="F21" i="15"/>
  <c r="F47" i="15" s="1"/>
  <c r="F74" i="15" s="1"/>
  <c r="F28" i="15"/>
  <c r="F62" i="15" s="1"/>
  <c r="F136" i="15" s="1"/>
  <c r="F164" i="15" s="1"/>
  <c r="D19" i="15"/>
  <c r="D45" i="15" s="1"/>
  <c r="D123" i="15" s="1"/>
  <c r="D155" i="15" s="1"/>
  <c r="F22" i="15"/>
  <c r="F48" i="15" s="1"/>
  <c r="F75" i="15" s="1"/>
  <c r="D16" i="15"/>
  <c r="D23" i="15"/>
  <c r="F18" i="15"/>
  <c r="D18" i="15"/>
  <c r="F17" i="15"/>
  <c r="D25" i="15"/>
  <c r="D59" i="15" s="1"/>
  <c r="D24" i="15"/>
  <c r="D58" i="15" s="1"/>
  <c r="F16" i="15"/>
  <c r="D26" i="15"/>
  <c r="D60" i="15" s="1"/>
  <c r="F15" i="15"/>
  <c r="D17" i="15"/>
  <c r="D196" i="15"/>
  <c r="D231" i="15" s="1"/>
  <c r="D194" i="15"/>
  <c r="D229" i="15" s="1"/>
  <c r="D137" i="15"/>
  <c r="D165" i="15" s="1"/>
  <c r="D219" i="15"/>
  <c r="D245" i="15" s="1"/>
  <c r="D46" i="15"/>
  <c r="D124" i="15" s="1"/>
  <c r="D156" i="15" s="1"/>
  <c r="F195" i="15"/>
  <c r="F230" i="15" s="1"/>
  <c r="D158" i="15"/>
  <c r="D75" i="15"/>
  <c r="F156" i="15"/>
  <c r="D157" i="15"/>
  <c r="D85" i="15"/>
  <c r="D74" i="15"/>
  <c r="D86" i="15"/>
  <c r="F85" i="15"/>
  <c r="F219" i="15"/>
  <c r="F245" i="15" s="1"/>
  <c r="F137" i="15"/>
  <c r="F165" i="15" s="1"/>
  <c r="F220" i="15"/>
  <c r="F246" i="15" s="1"/>
  <c r="F86" i="15"/>
  <c r="F138" i="15"/>
  <c r="F166" i="15" s="1"/>
  <c r="F125" i="15"/>
  <c r="F157" i="15" s="1"/>
  <c r="F194" i="15"/>
  <c r="F229" i="15" s="1"/>
  <c r="F45" i="15"/>
  <c r="D217" i="15"/>
  <c r="D243" i="15" s="1"/>
  <c r="D135" i="15"/>
  <c r="D163" i="15" s="1"/>
  <c r="D83" i="15"/>
  <c r="F43" i="15"/>
  <c r="F192" i="15"/>
  <c r="F227" i="15" s="1"/>
  <c r="D138" i="15"/>
  <c r="D166" i="15" s="1"/>
  <c r="F58" i="15"/>
  <c r="D197" i="15"/>
  <c r="D232" i="15" s="1"/>
  <c r="F196" i="15"/>
  <c r="F231" i="15" s="1"/>
  <c r="F61" i="15"/>
  <c r="F57" i="15"/>
  <c r="D57" i="15"/>
  <c r="F60" i="15"/>
  <c r="F59" i="15"/>
  <c r="D84" i="15" l="1"/>
  <c r="D218" i="15"/>
  <c r="D244" i="15" s="1"/>
  <c r="F73" i="15"/>
  <c r="D73" i="15"/>
  <c r="F197" i="15"/>
  <c r="F232" i="15" s="1"/>
  <c r="F126" i="15"/>
  <c r="F158" i="15" s="1"/>
  <c r="D72" i="15"/>
  <c r="F218" i="15"/>
  <c r="F244" i="15" s="1"/>
  <c r="F84" i="15"/>
  <c r="F44" i="15"/>
  <c r="F193" i="15"/>
  <c r="F228" i="15" s="1"/>
  <c r="D191" i="15"/>
  <c r="D226" i="15" s="1"/>
  <c r="D42" i="15"/>
  <c r="D43" i="15"/>
  <c r="D192" i="15"/>
  <c r="D227" i="15" s="1"/>
  <c r="F135" i="15"/>
  <c r="F163" i="15" s="1"/>
  <c r="F217" i="15"/>
  <c r="F243" i="15" s="1"/>
  <c r="F83" i="15"/>
  <c r="F81" i="15"/>
  <c r="F133" i="15"/>
  <c r="F161" i="15" s="1"/>
  <c r="F215" i="15"/>
  <c r="F241" i="15" s="1"/>
  <c r="D131" i="15"/>
  <c r="D159" i="15" s="1"/>
  <c r="D213" i="15"/>
  <c r="D239" i="15" s="1"/>
  <c r="D79" i="15"/>
  <c r="F70" i="15"/>
  <c r="F121" i="15"/>
  <c r="F153" i="15" s="1"/>
  <c r="F216" i="15"/>
  <c r="F242" i="15" s="1"/>
  <c r="F82" i="15"/>
  <c r="F134" i="15"/>
  <c r="F162" i="15" s="1"/>
  <c r="F123" i="15"/>
  <c r="F155" i="15" s="1"/>
  <c r="F72" i="15"/>
  <c r="F190" i="15"/>
  <c r="F225" i="15" s="1"/>
  <c r="F41" i="15"/>
  <c r="F42" i="15"/>
  <c r="F191" i="15"/>
  <c r="F226" i="15" s="1"/>
  <c r="D132" i="15"/>
  <c r="D160" i="15" s="1"/>
  <c r="D214" i="15"/>
  <c r="D240" i="15" s="1"/>
  <c r="D80" i="15"/>
  <c r="D41" i="15"/>
  <c r="D225" i="15"/>
  <c r="D215" i="15"/>
  <c r="D241" i="15" s="1"/>
  <c r="D81" i="15"/>
  <c r="D133" i="15"/>
  <c r="D161" i="15" s="1"/>
  <c r="D44" i="15"/>
  <c r="D193" i="15"/>
  <c r="D228" i="15" s="1"/>
  <c r="D216" i="15"/>
  <c r="D242" i="15" s="1"/>
  <c r="D82" i="15"/>
  <c r="D134" i="15"/>
  <c r="D162" i="15" s="1"/>
  <c r="F131" i="15"/>
  <c r="F159" i="15" s="1"/>
  <c r="F213" i="15"/>
  <c r="F239" i="15" s="1"/>
  <c r="F79" i="15"/>
  <c r="F80" i="15"/>
  <c r="F132" i="15"/>
  <c r="F160" i="15" s="1"/>
  <c r="F214" i="15"/>
  <c r="F240" i="15" s="1"/>
  <c r="F69" i="15" l="1"/>
  <c r="F120" i="15"/>
  <c r="F152" i="15" s="1"/>
  <c r="F71" i="15"/>
  <c r="F122" i="15"/>
  <c r="F154" i="15" s="1"/>
  <c r="F119" i="15"/>
  <c r="F151" i="15" s="1"/>
  <c r="F68" i="15"/>
  <c r="D119" i="15"/>
  <c r="D151" i="15" s="1"/>
  <c r="D68" i="15"/>
  <c r="D70" i="15"/>
  <c r="D121" i="15"/>
  <c r="D153" i="15" s="1"/>
  <c r="D120" i="15"/>
  <c r="D152" i="15" s="1"/>
  <c r="D69" i="15"/>
  <c r="D71" i="15"/>
  <c r="D122" i="15"/>
  <c r="D154" i="15" s="1"/>
  <c r="C87" i="15" l="1"/>
  <c r="C88" i="15" s="1"/>
  <c r="C89" i="15" s="1"/>
  <c r="L11" i="2" s="1"/>
  <c r="M47" i="4" l="1"/>
  <c r="D12" i="5" l="1"/>
  <c r="D10" i="4"/>
  <c r="D15" i="4" s="1"/>
  <c r="N7" i="4" s="1"/>
  <c r="N21" i="4" s="1"/>
  <c r="D5" i="4"/>
  <c r="D20" i="4"/>
  <c r="N14" i="4"/>
  <c r="D5" i="5"/>
  <c r="E12" i="5"/>
  <c r="E10" i="4"/>
  <c r="E15" i="4"/>
  <c r="O7" i="4" s="1"/>
  <c r="E5" i="4"/>
  <c r="E20" i="4"/>
  <c r="O14" i="4"/>
  <c r="E5" i="5"/>
  <c r="F12" i="5"/>
  <c r="F10" i="4"/>
  <c r="F15" i="4" s="1"/>
  <c r="P7" i="4" s="1"/>
  <c r="P21" i="4" s="1"/>
  <c r="P35" i="4" s="1"/>
  <c r="P41" i="4" s="1"/>
  <c r="F5" i="4"/>
  <c r="F20" i="4"/>
  <c r="P14" i="4"/>
  <c r="F5" i="5"/>
  <c r="G12" i="5"/>
  <c r="G30" i="4"/>
  <c r="G35" i="4" s="1"/>
  <c r="G25" i="4"/>
  <c r="O28" i="4"/>
  <c r="G10" i="4"/>
  <c r="G15" i="4"/>
  <c r="G5" i="4"/>
  <c r="Q7" i="4"/>
  <c r="G20" i="4"/>
  <c r="Q14" i="4"/>
  <c r="G5" i="5"/>
  <c r="H12" i="5"/>
  <c r="H10" i="4"/>
  <c r="H15" i="4" s="1"/>
  <c r="H5" i="4"/>
  <c r="H20" i="4"/>
  <c r="R14" i="4" s="1"/>
  <c r="H5" i="5"/>
  <c r="I12" i="5"/>
  <c r="I10" i="4"/>
  <c r="I15" i="4"/>
  <c r="S7" i="4" s="1"/>
  <c r="I5" i="4"/>
  <c r="I20" i="4"/>
  <c r="S14" i="4"/>
  <c r="I5" i="5"/>
  <c r="D13" i="5"/>
  <c r="D11" i="4"/>
  <c r="D16" i="4"/>
  <c r="D6" i="4"/>
  <c r="D21" i="4"/>
  <c r="N15" i="4"/>
  <c r="D6" i="5"/>
  <c r="E13" i="5"/>
  <c r="E11" i="4"/>
  <c r="E16" i="4" s="1"/>
  <c r="O8" i="4" s="1"/>
  <c r="O22" i="4" s="1"/>
  <c r="E6" i="4"/>
  <c r="E21" i="4"/>
  <c r="O15" i="4"/>
  <c r="E6" i="5"/>
  <c r="F13" i="5"/>
  <c r="F11" i="4"/>
  <c r="F16" i="4" s="1"/>
  <c r="P8" i="4" s="1"/>
  <c r="F6" i="4"/>
  <c r="F21" i="4"/>
  <c r="P15" i="4" s="1"/>
  <c r="F6" i="5"/>
  <c r="G13" i="5"/>
  <c r="G31" i="4"/>
  <c r="G26" i="4"/>
  <c r="G11" i="4"/>
  <c r="G16" i="4"/>
  <c r="Q8" i="4" s="1"/>
  <c r="G6" i="4"/>
  <c r="G21" i="4"/>
  <c r="Q15" i="4" s="1"/>
  <c r="G6" i="5"/>
  <c r="H13" i="5"/>
  <c r="H11" i="4"/>
  <c r="H16" i="4"/>
  <c r="H6" i="4"/>
  <c r="H21" i="4"/>
  <c r="R15" i="4"/>
  <c r="H6" i="5"/>
  <c r="I13" i="5"/>
  <c r="I11" i="4"/>
  <c r="I16" i="4"/>
  <c r="I6" i="4"/>
  <c r="S8" i="4" s="1"/>
  <c r="S22" i="4" s="1"/>
  <c r="I21" i="4"/>
  <c r="S15" i="4"/>
  <c r="I6" i="5"/>
  <c r="D14" i="5"/>
  <c r="D12" i="4"/>
  <c r="D17" i="4" s="1"/>
  <c r="D7" i="4"/>
  <c r="D22" i="4"/>
  <c r="N16" i="4" s="1"/>
  <c r="D7" i="5"/>
  <c r="E14" i="5"/>
  <c r="E12" i="4"/>
  <c r="E17" i="4" s="1"/>
  <c r="O9" i="4" s="1"/>
  <c r="E7" i="4"/>
  <c r="E22" i="4"/>
  <c r="O16" i="4"/>
  <c r="E7" i="5"/>
  <c r="F14" i="5"/>
  <c r="F12" i="4"/>
  <c r="F17" i="4" s="1"/>
  <c r="F7" i="4"/>
  <c r="F22" i="4"/>
  <c r="P16" i="4" s="1"/>
  <c r="F7" i="5"/>
  <c r="G14" i="5"/>
  <c r="G32" i="4"/>
  <c r="G27" i="4"/>
  <c r="G37" i="4" s="1"/>
  <c r="G32" i="6" s="1"/>
  <c r="Q31" i="4"/>
  <c r="G12" i="4"/>
  <c r="G17" i="4"/>
  <c r="Q9" i="4" s="1"/>
  <c r="G7" i="4"/>
  <c r="G22" i="4"/>
  <c r="Q16" i="4"/>
  <c r="G7" i="5"/>
  <c r="H14" i="5"/>
  <c r="H12" i="4"/>
  <c r="H17" i="4" s="1"/>
  <c r="H7" i="4"/>
  <c r="H22" i="4"/>
  <c r="R16" i="4" s="1"/>
  <c r="H7" i="5"/>
  <c r="I14" i="5"/>
  <c r="I12" i="4"/>
  <c r="I17" i="4"/>
  <c r="I7" i="4"/>
  <c r="I22" i="4"/>
  <c r="S16" i="4"/>
  <c r="I7" i="5"/>
  <c r="D15" i="5"/>
  <c r="D13" i="4"/>
  <c r="D18" i="4" s="1"/>
  <c r="D8" i="4"/>
  <c r="D23" i="4"/>
  <c r="N17" i="4" s="1"/>
  <c r="D8" i="5"/>
  <c r="E15" i="5"/>
  <c r="E13" i="4"/>
  <c r="E18" i="4"/>
  <c r="E8" i="4"/>
  <c r="O10" i="4"/>
  <c r="E23" i="4"/>
  <c r="O17" i="4"/>
  <c r="E8" i="5"/>
  <c r="F15" i="5"/>
  <c r="F13" i="4"/>
  <c r="F18" i="4" s="1"/>
  <c r="F8" i="4"/>
  <c r="F23" i="4"/>
  <c r="P17" i="4" s="1"/>
  <c r="F8" i="5"/>
  <c r="G15" i="5"/>
  <c r="G33" i="4"/>
  <c r="G28" i="4"/>
  <c r="G13" i="4"/>
  <c r="G18" i="4"/>
  <c r="G8" i="4"/>
  <c r="G23" i="4"/>
  <c r="Q17" i="4"/>
  <c r="G8" i="5"/>
  <c r="H15" i="5"/>
  <c r="H13" i="4"/>
  <c r="H18" i="4" s="1"/>
  <c r="R10" i="4" s="1"/>
  <c r="H8" i="4"/>
  <c r="H23" i="4"/>
  <c r="R17" i="4" s="1"/>
  <c r="R24" i="4"/>
  <c r="H8" i="5"/>
  <c r="I15" i="5"/>
  <c r="I13" i="4"/>
  <c r="I18" i="4" s="1"/>
  <c r="S10" i="4" s="1"/>
  <c r="S24" i="4" s="1"/>
  <c r="I8" i="4"/>
  <c r="I23" i="4"/>
  <c r="S17" i="4"/>
  <c r="I8" i="5"/>
  <c r="C15" i="13"/>
  <c r="D48" i="6"/>
  <c r="D5" i="6"/>
  <c r="D20" i="6"/>
  <c r="D25" i="6" s="1"/>
  <c r="D35" i="6"/>
  <c r="D38" i="6"/>
  <c r="C35" i="9"/>
  <c r="L13" i="9" s="1"/>
  <c r="N25" i="6" s="1"/>
  <c r="O16" i="6"/>
  <c r="E48" i="6"/>
  <c r="E5" i="6"/>
  <c r="E20" i="6"/>
  <c r="E25" i="6"/>
  <c r="E35" i="6"/>
  <c r="E38" i="6"/>
  <c r="P16" i="6"/>
  <c r="F48" i="6"/>
  <c r="F5" i="6"/>
  <c r="F20" i="6"/>
  <c r="F25" i="6" s="1"/>
  <c r="F35" i="6"/>
  <c r="F38" i="6"/>
  <c r="Q16" i="6"/>
  <c r="G48" i="6"/>
  <c r="G5" i="6"/>
  <c r="G20" i="6"/>
  <c r="G25" i="6"/>
  <c r="G35" i="6"/>
  <c r="G38" i="6"/>
  <c r="R16" i="6"/>
  <c r="H48" i="6"/>
  <c r="H5" i="6"/>
  <c r="H20" i="6"/>
  <c r="H25" i="6" s="1"/>
  <c r="H35" i="6"/>
  <c r="H38" i="6"/>
  <c r="S16" i="6"/>
  <c r="D49" i="6"/>
  <c r="D6" i="6"/>
  <c r="D21" i="6"/>
  <c r="D26" i="6"/>
  <c r="D39" i="6"/>
  <c r="E49" i="6"/>
  <c r="E16" i="6"/>
  <c r="E6" i="6"/>
  <c r="E21" i="6"/>
  <c r="E26" i="6" s="1"/>
  <c r="E39" i="6"/>
  <c r="F49" i="6"/>
  <c r="F6" i="6"/>
  <c r="F21" i="6"/>
  <c r="F26" i="6" s="1"/>
  <c r="F39" i="6"/>
  <c r="G49" i="6"/>
  <c r="G6" i="6"/>
  <c r="G21" i="6"/>
  <c r="G26" i="6"/>
  <c r="G39" i="6"/>
  <c r="H49" i="6"/>
  <c r="H6" i="6"/>
  <c r="H21" i="6"/>
  <c r="H26" i="6"/>
  <c r="H39" i="6"/>
  <c r="D50" i="6"/>
  <c r="D7" i="6"/>
  <c r="D22" i="6"/>
  <c r="D27" i="6" s="1"/>
  <c r="D40" i="6"/>
  <c r="E50" i="6"/>
  <c r="E7" i="6"/>
  <c r="E22" i="6"/>
  <c r="E27" i="6"/>
  <c r="E40" i="6"/>
  <c r="F50" i="6"/>
  <c r="F7" i="6"/>
  <c r="F22" i="6"/>
  <c r="F27" i="6"/>
  <c r="F40" i="6"/>
  <c r="G50" i="6"/>
  <c r="G7" i="6"/>
  <c r="G22" i="6"/>
  <c r="G27" i="6" s="1"/>
  <c r="G40" i="6"/>
  <c r="H50" i="6"/>
  <c r="H7" i="6"/>
  <c r="H22" i="6"/>
  <c r="H27" i="6" s="1"/>
  <c r="H40" i="6"/>
  <c r="D51" i="6"/>
  <c r="D8" i="6"/>
  <c r="D23" i="6"/>
  <c r="D28" i="6"/>
  <c r="D41" i="6"/>
  <c r="E51" i="6"/>
  <c r="E8" i="6"/>
  <c r="E23" i="6"/>
  <c r="E28" i="6" s="1"/>
  <c r="E41" i="6"/>
  <c r="F51" i="6"/>
  <c r="F8" i="6"/>
  <c r="F23" i="6"/>
  <c r="F28" i="6" s="1"/>
  <c r="F41" i="6"/>
  <c r="G51" i="6"/>
  <c r="G8" i="6"/>
  <c r="G23" i="6"/>
  <c r="G28" i="6" s="1"/>
  <c r="G41" i="6"/>
  <c r="H51" i="6"/>
  <c r="H8" i="6"/>
  <c r="H23" i="6"/>
  <c r="H28" i="6" s="1"/>
  <c r="H41" i="6"/>
  <c r="L22" i="9"/>
  <c r="L21" i="9" s="1"/>
  <c r="W30" i="9"/>
  <c r="W31" i="9"/>
  <c r="W32" i="9"/>
  <c r="W33" i="9"/>
  <c r="W27" i="9"/>
  <c r="W34" i="9"/>
  <c r="C33" i="9"/>
  <c r="C34" i="9" s="1"/>
  <c r="C36" i="9"/>
  <c r="D36" i="9" s="1"/>
  <c r="C24" i="2" s="1"/>
  <c r="M21" i="9"/>
  <c r="M26" i="9"/>
  <c r="M34" i="9"/>
  <c r="AA31" i="9"/>
  <c r="AA30" i="9"/>
  <c r="AA32" i="9"/>
  <c r="AA33" i="9"/>
  <c r="AA27" i="9"/>
  <c r="AA34" i="9"/>
  <c r="N22" i="9"/>
  <c r="N21" i="9"/>
  <c r="N26" i="9"/>
  <c r="O22" i="9"/>
  <c r="O21" i="9" s="1"/>
  <c r="P21" i="9"/>
  <c r="C19" i="9"/>
  <c r="C29" i="9" s="1"/>
  <c r="C5" i="9"/>
  <c r="C15" i="9" s="1"/>
  <c r="C10" i="12"/>
  <c r="C15" i="12" s="1"/>
  <c r="D15" i="12" s="1"/>
  <c r="D17" i="12" s="1"/>
  <c r="C5" i="12"/>
  <c r="E4" i="11"/>
  <c r="E5" i="11"/>
  <c r="C13" i="13"/>
  <c r="D17" i="14" s="1"/>
  <c r="C5" i="14"/>
  <c r="C7" i="14"/>
  <c r="C8" i="14"/>
  <c r="D5" i="14"/>
  <c r="D6" i="14"/>
  <c r="D7" i="14"/>
  <c r="D8" i="14"/>
  <c r="D10" i="14"/>
  <c r="D18" i="14" s="1"/>
  <c r="D40" i="4"/>
  <c r="E40" i="4"/>
  <c r="F40" i="4"/>
  <c r="G40" i="4"/>
  <c r="H40" i="4"/>
  <c r="I40" i="4"/>
  <c r="D41" i="4"/>
  <c r="E41" i="4"/>
  <c r="F41" i="4"/>
  <c r="G41" i="4"/>
  <c r="H41" i="4"/>
  <c r="I41" i="4"/>
  <c r="D42" i="4"/>
  <c r="E42" i="4"/>
  <c r="F42" i="4"/>
  <c r="G42" i="4"/>
  <c r="H42" i="4"/>
  <c r="I42" i="4"/>
  <c r="D43" i="4"/>
  <c r="E43" i="4"/>
  <c r="F43" i="4"/>
  <c r="G43" i="4"/>
  <c r="H43" i="4"/>
  <c r="I43" i="4"/>
  <c r="C76" i="9"/>
  <c r="C77" i="9"/>
  <c r="C60" i="9"/>
  <c r="C61" i="9"/>
  <c r="C53" i="6"/>
  <c r="I48" i="6"/>
  <c r="I5" i="6"/>
  <c r="I10" i="6"/>
  <c r="I20" i="6"/>
  <c r="I25" i="6"/>
  <c r="I35" i="6"/>
  <c r="I38" i="6"/>
  <c r="T16" i="6"/>
  <c r="I49" i="6"/>
  <c r="I6" i="6"/>
  <c r="I11" i="6"/>
  <c r="I21" i="6"/>
  <c r="I26" i="6" s="1"/>
  <c r="I39" i="6"/>
  <c r="I50" i="6"/>
  <c r="I7" i="6"/>
  <c r="I12" i="6"/>
  <c r="I22" i="6"/>
  <c r="I27" i="6" s="1"/>
  <c r="I40" i="6"/>
  <c r="I51" i="6"/>
  <c r="I8" i="6"/>
  <c r="I13" i="6"/>
  <c r="I23" i="6"/>
  <c r="I28" i="6" s="1"/>
  <c r="I41" i="6"/>
  <c r="D3" i="14"/>
  <c r="C3" i="14"/>
  <c r="E20" i="14"/>
  <c r="C3" i="2"/>
  <c r="C23" i="2"/>
  <c r="C22" i="2"/>
  <c r="C21" i="2"/>
  <c r="F90" i="3"/>
  <c r="D20" i="2" s="1"/>
  <c r="D90" i="3"/>
  <c r="C20" i="2" s="1"/>
  <c r="F84" i="3"/>
  <c r="D19" i="2"/>
  <c r="D84" i="3"/>
  <c r="C19" i="2" s="1"/>
  <c r="F78" i="3"/>
  <c r="D18" i="2" s="1"/>
  <c r="D78" i="3"/>
  <c r="C18" i="2" s="1"/>
  <c r="F71" i="3"/>
  <c r="D17" i="2"/>
  <c r="D71" i="3"/>
  <c r="C17" i="2" s="1"/>
  <c r="D16" i="2"/>
  <c r="C16" i="2"/>
  <c r="D15" i="2"/>
  <c r="C15" i="2"/>
  <c r="C19" i="13"/>
  <c r="C18" i="13"/>
  <c r="C17" i="13"/>
  <c r="C16" i="13"/>
  <c r="C14" i="13"/>
  <c r="P24" i="6"/>
  <c r="Q24" i="6"/>
  <c r="R24" i="6"/>
  <c r="S24" i="6"/>
  <c r="T24" i="6"/>
  <c r="O24" i="6"/>
  <c r="J16" i="6"/>
  <c r="J17" i="6"/>
  <c r="J18" i="6"/>
  <c r="J15" i="6"/>
  <c r="AC27" i="9"/>
  <c r="AC34" i="9"/>
  <c r="AC30" i="9"/>
  <c r="AC31" i="9"/>
  <c r="AC32" i="9"/>
  <c r="AC33" i="9"/>
  <c r="AC35" i="9"/>
  <c r="N41" i="9" s="1"/>
  <c r="P41" i="9"/>
  <c r="AB27" i="9"/>
  <c r="AB34" i="9"/>
  <c r="AB30" i="9"/>
  <c r="AB31" i="9"/>
  <c r="AB32" i="9"/>
  <c r="AB33" i="9"/>
  <c r="Z27" i="9"/>
  <c r="Z34" i="9"/>
  <c r="Z30" i="9"/>
  <c r="Z31" i="9"/>
  <c r="Z32" i="9"/>
  <c r="Z33" i="9"/>
  <c r="Y27" i="9"/>
  <c r="Y34" i="9"/>
  <c r="Y30" i="9"/>
  <c r="Y31" i="9"/>
  <c r="Y32" i="9"/>
  <c r="Y33" i="9"/>
  <c r="X27" i="9"/>
  <c r="X34" i="9" s="1"/>
  <c r="X30" i="9"/>
  <c r="X31" i="9"/>
  <c r="X32" i="9"/>
  <c r="X33" i="9"/>
  <c r="AD5" i="9"/>
  <c r="AD30" i="9"/>
  <c r="AD6" i="9"/>
  <c r="AD31" i="9"/>
  <c r="AD7" i="9"/>
  <c r="AD10" i="9"/>
  <c r="AD11" i="9"/>
  <c r="AD14" i="9"/>
  <c r="AD15" i="9"/>
  <c r="AD12" i="9"/>
  <c r="AD33" i="9" s="1"/>
  <c r="AD20" i="9"/>
  <c r="AD21" i="9"/>
  <c r="AD22" i="9"/>
  <c r="AD23" i="9"/>
  <c r="AD24" i="9"/>
  <c r="AD25" i="9"/>
  <c r="AD26" i="9"/>
  <c r="O29" i="9"/>
  <c r="N29" i="9"/>
  <c r="O28" i="9"/>
  <c r="N28" i="9"/>
  <c r="O27" i="9"/>
  <c r="N27" i="9"/>
  <c r="L27" i="9"/>
  <c r="O25" i="9"/>
  <c r="N25" i="9"/>
  <c r="M25" i="9"/>
  <c r="O24" i="9"/>
  <c r="N24" i="9"/>
  <c r="L24" i="9"/>
  <c r="N23" i="9"/>
  <c r="AD8" i="9"/>
  <c r="AD9" i="9"/>
  <c r="AD13" i="9"/>
  <c r="AC16" i="9"/>
  <c r="AB16" i="9"/>
  <c r="AA16" i="9"/>
  <c r="Z16" i="9"/>
  <c r="Y16" i="9"/>
  <c r="X16" i="9"/>
  <c r="W16" i="9"/>
  <c r="G36" i="3"/>
  <c r="P3" i="6"/>
  <c r="Q3" i="6"/>
  <c r="R3" i="6"/>
  <c r="S3" i="6"/>
  <c r="T3" i="6"/>
  <c r="U3" i="6"/>
  <c r="O3" i="6"/>
  <c r="O3" i="4"/>
  <c r="P3" i="4"/>
  <c r="Q3" i="4"/>
  <c r="R3" i="4"/>
  <c r="S3" i="4"/>
  <c r="T3" i="4"/>
  <c r="N3" i="4"/>
  <c r="E3" i="5"/>
  <c r="F3" i="5"/>
  <c r="G3" i="5"/>
  <c r="H3" i="5"/>
  <c r="I3" i="5"/>
  <c r="J3" i="5"/>
  <c r="D3" i="5"/>
  <c r="E3" i="4"/>
  <c r="F3" i="4"/>
  <c r="G3" i="4"/>
  <c r="H3" i="4"/>
  <c r="I3" i="4"/>
  <c r="J3" i="4"/>
  <c r="D3" i="4"/>
  <c r="E3" i="6"/>
  <c r="F3" i="6"/>
  <c r="G3" i="6"/>
  <c r="H3" i="6"/>
  <c r="I3" i="6"/>
  <c r="J3" i="6"/>
  <c r="D3" i="6"/>
  <c r="E5" i="2"/>
  <c r="D5" i="2"/>
  <c r="F5" i="2"/>
  <c r="G5" i="2"/>
  <c r="H5" i="2"/>
  <c r="I5" i="2"/>
  <c r="C5" i="2"/>
  <c r="J51" i="6"/>
  <c r="J50" i="6"/>
  <c r="J49" i="6"/>
  <c r="J48" i="6"/>
  <c r="J23" i="6"/>
  <c r="J22" i="6"/>
  <c r="J21" i="6"/>
  <c r="J20" i="6"/>
  <c r="J8" i="6"/>
  <c r="J7" i="6"/>
  <c r="J6" i="6"/>
  <c r="J5" i="6"/>
  <c r="J15" i="5"/>
  <c r="J14" i="5"/>
  <c r="J13" i="5"/>
  <c r="J12" i="5"/>
  <c r="J8" i="5"/>
  <c r="J7" i="5"/>
  <c r="J6" i="5"/>
  <c r="J5" i="5"/>
  <c r="J43" i="4"/>
  <c r="J42" i="4"/>
  <c r="J41" i="4"/>
  <c r="J40" i="4"/>
  <c r="J23" i="4"/>
  <c r="J22" i="4"/>
  <c r="J21" i="4"/>
  <c r="J20" i="4"/>
  <c r="J13" i="4"/>
  <c r="J12" i="4"/>
  <c r="J11" i="4"/>
  <c r="J10" i="4"/>
  <c r="J8" i="4"/>
  <c r="J7" i="4"/>
  <c r="J6" i="4"/>
  <c r="J5" i="4"/>
  <c r="C25" i="2"/>
  <c r="I13" i="2"/>
  <c r="I12" i="2"/>
  <c r="I9" i="2"/>
  <c r="I8" i="2"/>
  <c r="I7" i="2"/>
  <c r="I6" i="2"/>
  <c r="C18" i="4"/>
  <c r="C23" i="4" s="1"/>
  <c r="C17" i="4"/>
  <c r="C22" i="4" s="1"/>
  <c r="C16" i="4"/>
  <c r="C21" i="4"/>
  <c r="C15" i="4"/>
  <c r="C20" i="4" s="1"/>
  <c r="G12" i="3"/>
  <c r="I54" i="3"/>
  <c r="H13" i="2" s="1"/>
  <c r="H54" i="3"/>
  <c r="G13" i="2"/>
  <c r="G54" i="3"/>
  <c r="F13" i="2" s="1"/>
  <c r="F54" i="3"/>
  <c r="E13" i="2"/>
  <c r="E54" i="3"/>
  <c r="D13" i="2" s="1"/>
  <c r="D54" i="3"/>
  <c r="C13" i="2"/>
  <c r="I48" i="3"/>
  <c r="H12" i="2" s="1"/>
  <c r="H48" i="3"/>
  <c r="G12" i="2"/>
  <c r="G48" i="3"/>
  <c r="F12" i="2" s="1"/>
  <c r="F48" i="3"/>
  <c r="E12" i="2"/>
  <c r="E48" i="3"/>
  <c r="D12" i="2" s="1"/>
  <c r="D48" i="3"/>
  <c r="C12" i="2" s="1"/>
  <c r="G42" i="3"/>
  <c r="F11" i="2" s="1"/>
  <c r="F10" i="2"/>
  <c r="I30" i="3"/>
  <c r="H9" i="2" s="1"/>
  <c r="H30" i="3"/>
  <c r="G9" i="2" s="1"/>
  <c r="G30" i="3"/>
  <c r="F9" i="2" s="1"/>
  <c r="F30" i="3"/>
  <c r="E9" i="2" s="1"/>
  <c r="E30" i="3"/>
  <c r="D9" i="2" s="1"/>
  <c r="D30" i="3"/>
  <c r="C9" i="2"/>
  <c r="I24" i="3"/>
  <c r="H8" i="2" s="1"/>
  <c r="H24" i="3"/>
  <c r="G8" i="2" s="1"/>
  <c r="G24" i="3"/>
  <c r="F8" i="2" s="1"/>
  <c r="F24" i="3"/>
  <c r="E8" i="2"/>
  <c r="E24" i="3"/>
  <c r="D8" i="2" s="1"/>
  <c r="D24" i="3"/>
  <c r="C8" i="2"/>
  <c r="I18" i="3"/>
  <c r="H7" i="2" s="1"/>
  <c r="H18" i="3"/>
  <c r="G7" i="2"/>
  <c r="G18" i="3"/>
  <c r="F7" i="2" s="1"/>
  <c r="F18" i="3"/>
  <c r="E7" i="2"/>
  <c r="E18" i="3"/>
  <c r="D7" i="2" s="1"/>
  <c r="D18" i="3"/>
  <c r="C7" i="2"/>
  <c r="I12" i="3"/>
  <c r="I111" i="3" s="1"/>
  <c r="H12" i="3"/>
  <c r="H111" i="3" s="1"/>
  <c r="F12" i="3"/>
  <c r="E6" i="2" s="1"/>
  <c r="E12" i="3"/>
  <c r="E111" i="3" s="1"/>
  <c r="D6" i="2"/>
  <c r="D12" i="3"/>
  <c r="N3" i="2"/>
  <c r="G6" i="2"/>
  <c r="C37" i="9" l="1"/>
  <c r="S36" i="4"/>
  <c r="I16" i="6"/>
  <c r="T8" i="6" s="1"/>
  <c r="P25" i="6"/>
  <c r="Q25" i="6"/>
  <c r="T25" i="6"/>
  <c r="I46" i="6" s="1"/>
  <c r="D111" i="3"/>
  <c r="C111" i="3" s="1"/>
  <c r="C26" i="2" s="1"/>
  <c r="C6" i="2"/>
  <c r="Q29" i="4"/>
  <c r="G30" i="6"/>
  <c r="E21" i="5"/>
  <c r="O36" i="4"/>
  <c r="Z35" i="9"/>
  <c r="N38" i="9" s="1"/>
  <c r="I18" i="6"/>
  <c r="T10" i="6" s="1"/>
  <c r="S38" i="4"/>
  <c r="S44" i="4" s="1"/>
  <c r="S9" i="4"/>
  <c r="S23" i="4" s="1"/>
  <c r="AD27" i="9"/>
  <c r="AD34" i="9" s="1"/>
  <c r="S25" i="6"/>
  <c r="H45" i="6" s="1"/>
  <c r="G111" i="3"/>
  <c r="F6" i="2"/>
  <c r="C87" i="9"/>
  <c r="S42" i="4"/>
  <c r="AA35" i="9"/>
  <c r="M39" i="9" s="1"/>
  <c r="Q23" i="4"/>
  <c r="AD32" i="9"/>
  <c r="O42" i="4"/>
  <c r="R25" i="6"/>
  <c r="G46" i="6" s="1"/>
  <c r="D30" i="12"/>
  <c r="L5" i="2" s="1"/>
  <c r="D31" i="12"/>
  <c r="D32" i="12"/>
  <c r="L16" i="2" s="1"/>
  <c r="O25" i="6"/>
  <c r="D44" i="6" s="1"/>
  <c r="C6" i="14"/>
  <c r="C10" i="14" s="1"/>
  <c r="C18" i="14" s="1"/>
  <c r="C20" i="14" s="1"/>
  <c r="C22" i="14" s="1"/>
  <c r="L7" i="2" s="1"/>
  <c r="N9" i="4"/>
  <c r="N23" i="4" s="1"/>
  <c r="AD35" i="9"/>
  <c r="AB35" i="9"/>
  <c r="P40" i="9" s="1"/>
  <c r="Q10" i="4"/>
  <c r="F111" i="3"/>
  <c r="AD16" i="9"/>
  <c r="P10" i="4"/>
  <c r="P24" i="4" s="1"/>
  <c r="R7" i="4"/>
  <c r="R21" i="4" s="1"/>
  <c r="O41" i="9"/>
  <c r="D35" i="9"/>
  <c r="C43" i="9" s="1"/>
  <c r="O24" i="4"/>
  <c r="P42" i="9"/>
  <c r="C4" i="2"/>
  <c r="S21" i="4"/>
  <c r="O21" i="4"/>
  <c r="E20" i="5" s="1"/>
  <c r="E26" i="5" s="1"/>
  <c r="Y35" i="9"/>
  <c r="L37" i="9" s="1"/>
  <c r="R9" i="4"/>
  <c r="R23" i="4" s="1"/>
  <c r="X35" i="9"/>
  <c r="P36" i="9" s="1"/>
  <c r="O40" i="9"/>
  <c r="N40" i="9"/>
  <c r="T36" i="6"/>
  <c r="T48" i="6" s="1"/>
  <c r="T34" i="6"/>
  <c r="T46" i="6" s="1"/>
  <c r="P37" i="9"/>
  <c r="N37" i="9"/>
  <c r="D15" i="6"/>
  <c r="O7" i="6" s="1"/>
  <c r="D20" i="5"/>
  <c r="D26" i="5" s="1"/>
  <c r="N35" i="4"/>
  <c r="N41" i="4" s="1"/>
  <c r="N42" i="9"/>
  <c r="H17" i="6"/>
  <c r="S9" i="6" s="1"/>
  <c r="R37" i="4"/>
  <c r="R43" i="4" s="1"/>
  <c r="P9" i="4"/>
  <c r="P23" i="4" s="1"/>
  <c r="O42" i="9"/>
  <c r="C71" i="9"/>
  <c r="C90" i="9" s="1"/>
  <c r="L10" i="2" s="1"/>
  <c r="C72" i="9"/>
  <c r="W35" i="9"/>
  <c r="L35" i="9"/>
  <c r="L34" i="9" s="1"/>
  <c r="D44" i="9"/>
  <c r="C41" i="9"/>
  <c r="H23" i="5"/>
  <c r="H29" i="5" s="1"/>
  <c r="H18" i="6"/>
  <c r="S10" i="6" s="1"/>
  <c r="H22" i="5"/>
  <c r="H28" i="5" s="1"/>
  <c r="H6" i="2"/>
  <c r="C88" i="9"/>
  <c r="R38" i="4"/>
  <c r="R44" i="4" s="1"/>
  <c r="E10" i="11"/>
  <c r="E14" i="11" s="1"/>
  <c r="E15" i="11" s="1"/>
  <c r="L6" i="2" s="1"/>
  <c r="D43" i="6"/>
  <c r="O27" i="6"/>
  <c r="I21" i="5"/>
  <c r="I27" i="5" s="1"/>
  <c r="P8" i="6"/>
  <c r="O23" i="4"/>
  <c r="E27" i="5"/>
  <c r="G36" i="4"/>
  <c r="G38" i="4"/>
  <c r="N10" i="4"/>
  <c r="N24" i="4" s="1"/>
  <c r="R8" i="4"/>
  <c r="R22" i="4" s="1"/>
  <c r="N8" i="4"/>
  <c r="N22" i="4" s="1"/>
  <c r="Q21" i="4"/>
  <c r="F20" i="5"/>
  <c r="F26" i="5" s="1"/>
  <c r="F15" i="6"/>
  <c r="Q7" i="6" s="1"/>
  <c r="I23" i="5"/>
  <c r="I29" i="5"/>
  <c r="P22" i="4"/>
  <c r="C91" i="9" l="1"/>
  <c r="L15" i="2" s="1"/>
  <c r="G45" i="6"/>
  <c r="R29" i="6" s="1"/>
  <c r="G44" i="6"/>
  <c r="G43" i="6"/>
  <c r="R27" i="6" s="1"/>
  <c r="D45" i="6"/>
  <c r="O29" i="6" s="1"/>
  <c r="D41" i="9"/>
  <c r="C44" i="9"/>
  <c r="C51" i="9" s="1"/>
  <c r="S29" i="6"/>
  <c r="D46" i="6"/>
  <c r="O30" i="6" s="1"/>
  <c r="H44" i="6"/>
  <c r="S28" i="6" s="1"/>
  <c r="O28" i="6"/>
  <c r="C48" i="9"/>
  <c r="E43" i="6"/>
  <c r="P27" i="6" s="1"/>
  <c r="E44" i="6"/>
  <c r="P28" i="6" s="1"/>
  <c r="P40" i="6" s="1"/>
  <c r="P52" i="6" s="1"/>
  <c r="E100" i="15" s="1"/>
  <c r="E108" i="15" s="1"/>
  <c r="E46" i="6"/>
  <c r="P30" i="6" s="1"/>
  <c r="E45" i="6"/>
  <c r="P29" i="6" s="1"/>
  <c r="P38" i="9"/>
  <c r="F43" i="6"/>
  <c r="Q27" i="6" s="1"/>
  <c r="F46" i="6"/>
  <c r="Q30" i="6" s="1"/>
  <c r="F45" i="6"/>
  <c r="Q29" i="6" s="1"/>
  <c r="F44" i="6"/>
  <c r="I20" i="5"/>
  <c r="I26" i="5" s="1"/>
  <c r="I15" i="6"/>
  <c r="T7" i="6" s="1"/>
  <c r="T33" i="6" s="1"/>
  <c r="T45" i="6" s="1"/>
  <c r="S35" i="4"/>
  <c r="S41" i="4" s="1"/>
  <c r="I45" i="6"/>
  <c r="T29" i="6" s="1"/>
  <c r="O35" i="4"/>
  <c r="O41" i="4" s="1"/>
  <c r="L40" i="9"/>
  <c r="E23" i="5"/>
  <c r="E29" i="5" s="1"/>
  <c r="O38" i="4"/>
  <c r="O44" i="4" s="1"/>
  <c r="E18" i="6"/>
  <c r="P10" i="6" s="1"/>
  <c r="I22" i="5"/>
  <c r="I28" i="5" s="1"/>
  <c r="I17" i="6"/>
  <c r="T9" i="6" s="1"/>
  <c r="S37" i="4"/>
  <c r="S43" i="4" s="1"/>
  <c r="P38" i="4"/>
  <c r="P44" i="4" s="1"/>
  <c r="F23" i="5"/>
  <c r="F29" i="5" s="1"/>
  <c r="F18" i="6"/>
  <c r="Q10" i="6" s="1"/>
  <c r="H46" i="6"/>
  <c r="S30" i="6" s="1"/>
  <c r="S42" i="6" s="1"/>
  <c r="S54" i="6" s="1"/>
  <c r="H102" i="15" s="1"/>
  <c r="H110" i="15" s="1"/>
  <c r="H43" i="6"/>
  <c r="N39" i="9"/>
  <c r="D43" i="9" s="1"/>
  <c r="C50" i="9" s="1"/>
  <c r="E15" i="6"/>
  <c r="P7" i="6" s="1"/>
  <c r="C45" i="9"/>
  <c r="C42" i="9"/>
  <c r="O37" i="9"/>
  <c r="Q28" i="6"/>
  <c r="T30" i="6"/>
  <c r="T42" i="6" s="1"/>
  <c r="T54" i="6" s="1"/>
  <c r="I102" i="15" s="1"/>
  <c r="I110" i="15" s="1"/>
  <c r="I44" i="6"/>
  <c r="T28" i="6" s="1"/>
  <c r="T40" i="6" s="1"/>
  <c r="T52" i="6" s="1"/>
  <c r="I43" i="6"/>
  <c r="T27" i="6" s="1"/>
  <c r="T39" i="6" s="1"/>
  <c r="T51" i="6" s="1"/>
  <c r="I99" i="15" s="1"/>
  <c r="I107" i="15" s="1"/>
  <c r="S27" i="6"/>
  <c r="P39" i="9"/>
  <c r="D45" i="9" s="1"/>
  <c r="D42" i="9"/>
  <c r="C49" i="9" s="1"/>
  <c r="M38" i="9"/>
  <c r="N36" i="9"/>
  <c r="H15" i="6"/>
  <c r="S7" i="6" s="1"/>
  <c r="R35" i="4"/>
  <c r="R41" i="4" s="1"/>
  <c r="H20" i="5"/>
  <c r="H26" i="5" s="1"/>
  <c r="O38" i="9"/>
  <c r="G22" i="5"/>
  <c r="G28" i="5" s="1"/>
  <c r="G17" i="6"/>
  <c r="R9" i="6" s="1"/>
  <c r="R35" i="6" s="1"/>
  <c r="R47" i="6" s="1"/>
  <c r="Q37" i="4"/>
  <c r="Q43" i="4" s="1"/>
  <c r="G20" i="5"/>
  <c r="G26" i="5" s="1"/>
  <c r="G15" i="6"/>
  <c r="R7" i="6" s="1"/>
  <c r="Q35" i="4"/>
  <c r="Q41" i="4" s="1"/>
  <c r="P34" i="6"/>
  <c r="P46" i="6" s="1"/>
  <c r="O33" i="6"/>
  <c r="O45" i="6" s="1"/>
  <c r="O39" i="6"/>
  <c r="O51" i="6" s="1"/>
  <c r="D99" i="15" s="1"/>
  <c r="N35" i="9"/>
  <c r="N34" i="9" s="1"/>
  <c r="O35" i="9"/>
  <c r="O34" i="9" s="1"/>
  <c r="D21" i="5"/>
  <c r="D27" i="5" s="1"/>
  <c r="N36" i="4"/>
  <c r="N42" i="4" s="1"/>
  <c r="D16" i="6"/>
  <c r="O8" i="6" s="1"/>
  <c r="Q30" i="4"/>
  <c r="Q22" i="4" s="1"/>
  <c r="G31" i="6"/>
  <c r="R28" i="6" s="1"/>
  <c r="S36" i="6"/>
  <c r="S48" i="6" s="1"/>
  <c r="S35" i="6"/>
  <c r="S47" i="6" s="1"/>
  <c r="S41" i="6"/>
  <c r="S53" i="6" s="1"/>
  <c r="H101" i="15" s="1"/>
  <c r="H109" i="15" s="1"/>
  <c r="P33" i="6"/>
  <c r="P45" i="6" s="1"/>
  <c r="H21" i="5"/>
  <c r="H27" i="5" s="1"/>
  <c r="R36" i="4"/>
  <c r="R42" i="4" s="1"/>
  <c r="H16" i="6"/>
  <c r="S8" i="6" s="1"/>
  <c r="F22" i="5"/>
  <c r="F28" i="5" s="1"/>
  <c r="F17" i="6"/>
  <c r="Q9" i="6" s="1"/>
  <c r="P37" i="4"/>
  <c r="P43" i="4" s="1"/>
  <c r="F21" i="5"/>
  <c r="F27" i="5" s="1"/>
  <c r="P36" i="4"/>
  <c r="P42" i="4" s="1"/>
  <c r="F16" i="6"/>
  <c r="Q8" i="6" s="1"/>
  <c r="D23" i="5"/>
  <c r="D29" i="5" s="1"/>
  <c r="D18" i="6"/>
  <c r="O10" i="6" s="1"/>
  <c r="N38" i="4"/>
  <c r="N44" i="4" s="1"/>
  <c r="E22" i="5"/>
  <c r="E28" i="5" s="1"/>
  <c r="E17" i="6"/>
  <c r="P9" i="6" s="1"/>
  <c r="O37" i="4"/>
  <c r="O43" i="4" s="1"/>
  <c r="D22" i="5"/>
  <c r="D28" i="5" s="1"/>
  <c r="N37" i="4"/>
  <c r="N43" i="4" s="1"/>
  <c r="D17" i="6"/>
  <c r="O9" i="6" s="1"/>
  <c r="Q33" i="6"/>
  <c r="Q45" i="6" s="1"/>
  <c r="Q32" i="4"/>
  <c r="Q24" i="4" s="1"/>
  <c r="G33" i="6"/>
  <c r="R30" i="6" s="1"/>
  <c r="P35" i="9"/>
  <c r="P34" i="9" s="1"/>
  <c r="T60" i="6"/>
  <c r="D107" i="15" l="1"/>
  <c r="P39" i="6"/>
  <c r="P51" i="6" s="1"/>
  <c r="E99" i="15" s="1"/>
  <c r="E107" i="15" s="1"/>
  <c r="T57" i="6"/>
  <c r="T58" i="6"/>
  <c r="I100" i="15"/>
  <c r="I108" i="15" s="1"/>
  <c r="S33" i="6"/>
  <c r="S45" i="6" s="1"/>
  <c r="T35" i="6"/>
  <c r="T47" i="6" s="1"/>
  <c r="T41" i="6"/>
  <c r="T53" i="6" s="1"/>
  <c r="I101" i="15" s="1"/>
  <c r="I109" i="15" s="1"/>
  <c r="Q36" i="6"/>
  <c r="Q48" i="6" s="1"/>
  <c r="Q42" i="6"/>
  <c r="Q54" i="6" s="1"/>
  <c r="F102" i="15" s="1"/>
  <c r="F110" i="15" s="1"/>
  <c r="R41" i="6"/>
  <c r="R53" i="6" s="1"/>
  <c r="G101" i="15" s="1"/>
  <c r="G109" i="15" s="1"/>
  <c r="C52" i="9"/>
  <c r="C54" i="9" s="1"/>
  <c r="C55" i="9" s="1"/>
  <c r="C57" i="9" s="1"/>
  <c r="L4" i="2" s="1"/>
  <c r="N4" i="2" s="1"/>
  <c r="P36" i="6"/>
  <c r="P48" i="6" s="1"/>
  <c r="P42" i="6"/>
  <c r="P54" i="6" s="1"/>
  <c r="E102" i="15" s="1"/>
  <c r="E110" i="15" s="1"/>
  <c r="Q34" i="6"/>
  <c r="Q46" i="6" s="1"/>
  <c r="O34" i="6"/>
  <c r="O46" i="6" s="1"/>
  <c r="S59" i="6"/>
  <c r="Q39" i="6"/>
  <c r="Q51" i="6" s="1"/>
  <c r="F99" i="15" s="1"/>
  <c r="F107" i="15" s="1"/>
  <c r="O36" i="6"/>
  <c r="O48" i="6" s="1"/>
  <c r="O42" i="6"/>
  <c r="O54" i="6" s="1"/>
  <c r="D102" i="15" s="1"/>
  <c r="G23" i="5"/>
  <c r="G29" i="5" s="1"/>
  <c r="Q38" i="4"/>
  <c r="Q44" i="4" s="1"/>
  <c r="G18" i="6"/>
  <c r="R10" i="6" s="1"/>
  <c r="Q35" i="6"/>
  <c r="Q47" i="6" s="1"/>
  <c r="S34" i="6"/>
  <c r="S46" i="6" s="1"/>
  <c r="P57" i="6"/>
  <c r="O57" i="6"/>
  <c r="O35" i="6"/>
  <c r="O47" i="6" s="1"/>
  <c r="P35" i="6"/>
  <c r="P47" i="6" s="1"/>
  <c r="S60" i="6"/>
  <c r="G21" i="5"/>
  <c r="G27" i="5" s="1"/>
  <c r="G16" i="6"/>
  <c r="R8" i="6" s="1"/>
  <c r="Q36" i="4"/>
  <c r="Q42" i="4" s="1"/>
  <c r="P58" i="6"/>
  <c r="R33" i="6"/>
  <c r="R45" i="6" s="1"/>
  <c r="R39" i="6"/>
  <c r="R51" i="6" s="1"/>
  <c r="G99" i="15" s="1"/>
  <c r="G107" i="15" s="1"/>
  <c r="R59" i="6" l="1"/>
  <c r="D110" i="15"/>
  <c r="P60" i="6"/>
  <c r="M46" i="4"/>
  <c r="M48" i="4" s="1"/>
  <c r="L8" i="2" s="1"/>
  <c r="O41" i="6"/>
  <c r="O53" i="6" s="1"/>
  <c r="D101" i="15" s="1"/>
  <c r="S39" i="6"/>
  <c r="S51" i="6" s="1"/>
  <c r="H99" i="15" s="1"/>
  <c r="H107" i="15" s="1"/>
  <c r="Q57" i="6"/>
  <c r="T59" i="6"/>
  <c r="C31" i="5"/>
  <c r="C32" i="5" s="1"/>
  <c r="C33" i="5" s="1"/>
  <c r="L9" i="2" s="1"/>
  <c r="Q41" i="6"/>
  <c r="Q53" i="6" s="1"/>
  <c r="F101" i="15" s="1"/>
  <c r="F109" i="15" s="1"/>
  <c r="Q60" i="6"/>
  <c r="R34" i="6"/>
  <c r="R46" i="6" s="1"/>
  <c r="O40" i="6"/>
  <c r="O52" i="6" s="1"/>
  <c r="D100" i="15" s="1"/>
  <c r="R57" i="6"/>
  <c r="P41" i="6"/>
  <c r="P53" i="6" s="1"/>
  <c r="E101" i="15" s="1"/>
  <c r="E109" i="15" s="1"/>
  <c r="S40" i="6"/>
  <c r="S52" i="6" s="1"/>
  <c r="H100" i="15" s="1"/>
  <c r="H108" i="15" s="1"/>
  <c r="R36" i="6"/>
  <c r="R48" i="6" s="1"/>
  <c r="O60" i="6"/>
  <c r="Q40" i="6"/>
  <c r="Q52" i="6" s="1"/>
  <c r="F100" i="15" s="1"/>
  <c r="F108" i="15" s="1"/>
  <c r="O59" i="6" l="1"/>
  <c r="S57" i="6"/>
  <c r="D199" i="15"/>
  <c r="D234" i="15" s="1"/>
  <c r="D108" i="15"/>
  <c r="D144" i="15"/>
  <c r="D169" i="15" s="1"/>
  <c r="D109" i="15"/>
  <c r="D201" i="15"/>
  <c r="D236" i="15" s="1"/>
  <c r="D142" i="15"/>
  <c r="S58" i="6"/>
  <c r="N5" i="2"/>
  <c r="Q59" i="6"/>
  <c r="R40" i="6"/>
  <c r="R52" i="6" s="1"/>
  <c r="G100" i="15" s="1"/>
  <c r="G108" i="15" s="1"/>
  <c r="Q58" i="6"/>
  <c r="P59" i="6"/>
  <c r="R42" i="6"/>
  <c r="R54" i="6" s="1"/>
  <c r="G102" i="15" s="1"/>
  <c r="O58" i="6"/>
  <c r="G110" i="15" l="1"/>
  <c r="C112" i="15" s="1"/>
  <c r="C113" i="15" s="1"/>
  <c r="C114" i="15" s="1"/>
  <c r="D145" i="15"/>
  <c r="D170" i="15" s="1"/>
  <c r="D202" i="15"/>
  <c r="D237" i="15" s="1"/>
  <c r="D200" i="15"/>
  <c r="D235" i="15" s="1"/>
  <c r="R58" i="6"/>
  <c r="D143" i="15"/>
  <c r="D168" i="15" s="1"/>
  <c r="C248" i="15"/>
  <c r="C249" i="15" s="1"/>
  <c r="C250" i="15" s="1"/>
  <c r="D167" i="15"/>
  <c r="R60" i="6"/>
  <c r="D146" i="15" l="1"/>
  <c r="L12" i="2"/>
  <c r="L14" i="2"/>
  <c r="C172" i="15"/>
  <c r="C173" i="15" s="1"/>
  <c r="C174" i="15" s="1"/>
  <c r="L13" i="2" l="1"/>
  <c r="L17" i="2" s="1"/>
  <c r="N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Seyda Ozkan</author>
    <author>Dr Richard J Eckard</author>
    <author>Richard Eckard</author>
  </authors>
  <commentList>
    <comment ref="H1" authorId="0" shapeId="0" xr:uid="{00000000-0006-0000-0100-000001000000}">
      <text>
        <r>
          <rPr>
            <sz val="8"/>
            <color indexed="8"/>
            <rFont val="Tahoma"/>
            <family val="2"/>
          </rPr>
          <t>Type the name of your farm here</t>
        </r>
      </text>
    </comment>
    <comment ref="E5" authorId="0" shapeId="0" xr:uid="{00000000-0006-0000-0100-000002000000}">
      <text>
        <r>
          <rPr>
            <sz val="8"/>
            <color indexed="81"/>
            <rFont val="Tahoma"/>
            <family val="2"/>
          </rPr>
          <t>In the current methodology, it is considered that leaching occurs where Et/P &lt; 0.8 or Et/P &gt; 1 (See the map below). Regions outside these areas (orange zone) are considered to be 'dryland' and not subject to leaching.</t>
        </r>
      </text>
    </comment>
    <comment ref="B8" authorId="1" shapeId="0" xr:uid="{00000000-0006-0000-0100-000003000000}">
      <text>
        <r>
          <rPr>
            <sz val="8"/>
            <color indexed="8"/>
            <rFont val="Tahoma"/>
            <family val="2"/>
          </rPr>
          <t>Insert the number of animals in each category.</t>
        </r>
      </text>
    </comment>
    <comment ref="B14" authorId="1" shapeId="0" xr:uid="{00000000-0006-0000-0100-000004000000}">
      <text>
        <r>
          <rPr>
            <sz val="8"/>
            <color indexed="8"/>
            <rFont val="Tahoma"/>
            <family val="2"/>
          </rPr>
          <t>Specify the average liveweight of your herd for each category (in kg liveweight)</t>
        </r>
      </text>
    </comment>
    <comment ref="B20" authorId="1" shapeId="0" xr:uid="{00000000-0006-0000-0100-000005000000}">
      <text>
        <r>
          <rPr>
            <sz val="8"/>
            <color indexed="8"/>
            <rFont val="Tahoma"/>
            <family val="2"/>
          </rPr>
          <t>Insert the likely average daily liveweight gain (kg/day) for each class of animal in the herd.</t>
        </r>
      </text>
    </comment>
    <comment ref="B26" authorId="0" shapeId="0" xr:uid="{00000000-0006-0000-0100-000006000000}">
      <text>
        <r>
          <rPr>
            <sz val="8"/>
            <color indexed="8"/>
            <rFont val="Tahoma"/>
            <family val="2"/>
          </rPr>
          <t>Insert the estimated dry matter available</t>
        </r>
      </text>
    </comment>
    <comment ref="B32" authorId="0" shapeId="0" xr:uid="{00000000-0006-0000-0100-000007000000}">
      <text>
        <r>
          <rPr>
            <sz val="8"/>
            <color indexed="8"/>
            <rFont val="Tahoma"/>
            <family val="2"/>
          </rPr>
          <t>Insert the lambing rates for each season.</t>
        </r>
        <r>
          <rPr>
            <sz val="8"/>
            <color indexed="8"/>
            <rFont val="Tahoma"/>
            <family val="2"/>
          </rPr>
          <t xml:space="preserve">
Note must add to 1.0</t>
        </r>
      </text>
    </comment>
    <comment ref="B38" authorId="0" shapeId="0" xr:uid="{00000000-0006-0000-0100-000008000000}">
      <text>
        <r>
          <rPr>
            <sz val="8"/>
            <color indexed="8"/>
            <rFont val="Tahoma"/>
            <family val="2"/>
          </rPr>
          <t>Insert the lambing rates in each season</t>
        </r>
      </text>
    </comment>
    <comment ref="B44" authorId="0" shapeId="0" xr:uid="{00000000-0006-0000-0100-000009000000}">
      <text>
        <r>
          <rPr>
            <sz val="8"/>
            <color indexed="8"/>
            <rFont val="Tahoma"/>
            <family val="2"/>
          </rPr>
          <t>Enter the CP in the feed eaten, not on offer</t>
        </r>
      </text>
    </comment>
    <comment ref="B50" authorId="2" shapeId="0" xr:uid="{00000000-0006-0000-0100-00000A000000}">
      <text>
        <r>
          <rPr>
            <sz val="8"/>
            <color indexed="8"/>
            <rFont val="Tahoma"/>
            <family val="2"/>
          </rPr>
          <t>Enter the DMD in the feed eaten, not on offer</t>
        </r>
      </text>
    </comment>
    <comment ref="B60" authorId="1" shapeId="0" xr:uid="{00000000-0006-0000-0100-00000B000000}">
      <text>
        <r>
          <rPr>
            <sz val="8"/>
            <color indexed="8"/>
            <rFont val="Tahoma"/>
            <family val="2"/>
          </rPr>
          <t xml:space="preserve">Insert the carbon content of the wool produced. </t>
        </r>
        <r>
          <rPr>
            <sz val="8"/>
            <color indexed="8"/>
            <rFont val="Tahoma"/>
            <family val="2"/>
          </rPr>
          <t xml:space="preserve">
If you do not know, then use the default value of 45.2%</t>
        </r>
      </text>
    </comment>
    <comment ref="B63" authorId="0" shapeId="0" xr:uid="{00000000-0006-0000-0100-00000C000000}">
      <text>
        <r>
          <rPr>
            <sz val="8"/>
            <color indexed="8"/>
            <rFont val="Tahoma"/>
            <family val="2"/>
          </rPr>
          <t>The total area of land cultivated for cropping (ha).</t>
        </r>
      </text>
    </comment>
    <comment ref="B64" authorId="0" shapeId="0" xr:uid="{00000000-0006-0000-0100-00000D000000}">
      <text>
        <r>
          <rPr>
            <sz val="8"/>
            <color indexed="8"/>
            <rFont val="Tahoma"/>
            <family val="2"/>
          </rPr>
          <t>Total area of pastures on the farm, that is not natural rangeland (ha)</t>
        </r>
      </text>
    </comment>
    <comment ref="B67" authorId="0" shapeId="0" xr:uid="{00000000-0006-0000-0100-00000E000000}">
      <text>
        <r>
          <rPr>
            <sz val="8"/>
            <color indexed="8"/>
            <rFont val="Tahoma"/>
            <family val="2"/>
          </rPr>
          <t>Total amount of Nitrogen fertiliser applied on crops (in kg N) - remember that urea is 46%N and DAP is 18% N etc. i.e. 10 tonnes of urea = 10000*46/100 kg N/ha</t>
        </r>
      </text>
    </comment>
    <comment ref="B74" authorId="0" shapeId="0" xr:uid="{00000000-0006-0000-0100-00000F000000}">
      <text>
        <r>
          <rPr>
            <sz val="8"/>
            <color indexed="81"/>
            <rFont val="Tahoma"/>
            <family val="2"/>
          </rPr>
          <t>Total amount of Nitrogen fertiliser applied on pastures (in kg N) - remember that urea is 46%N and DAP is 18% N etc. i.e. 10 tonnes of urea = 10000*46/100 kg N/ha</t>
        </r>
      </text>
    </comment>
    <comment ref="B80" authorId="0" shapeId="0" xr:uid="{00000000-0006-0000-0100-000010000000}">
      <text>
        <r>
          <rPr>
            <sz val="8"/>
            <color indexed="81"/>
            <rFont val="Tahoma"/>
            <family val="2"/>
          </rPr>
          <t>Amount of Nitrogen fertiliser applied on crops (in kg N/ha) - remember that urea is 46%N and DAP is 18% N etc. i.e. 10 tonnes of urea = 10000*46/100 kg N</t>
        </r>
      </text>
    </comment>
    <comment ref="B86" authorId="0" shapeId="0" xr:uid="{00000000-0006-0000-0100-000011000000}">
      <text>
        <r>
          <rPr>
            <sz val="8"/>
            <color indexed="81"/>
            <rFont val="Tahoma"/>
            <family val="2"/>
          </rPr>
          <t>Amount of Nitrogen fertiliser applied on pastures (in kg N/ha) - remember that urea is 46%N and DAP is 18% N etc. i.e. 10 tonnes of urea = 10000*46/100 kg N</t>
        </r>
      </text>
    </comment>
    <comment ref="B92" authorId="0" shapeId="0" xr:uid="{00000000-0006-0000-0100-000012000000}">
      <text>
        <r>
          <rPr>
            <sz val="8"/>
            <color indexed="8"/>
            <rFont val="Tahoma"/>
            <family val="2"/>
          </rPr>
          <t>Total amount of Nitrogen fertiliser applied on crops (in kg N) - remember that urea is 46%N and DAP is 18% N etc. i.e. 10 tonnes of urea = 10000*46/100 kg N/ha</t>
        </r>
      </text>
    </comment>
    <comment ref="B93" authorId="0" shapeId="0" xr:uid="{00000000-0006-0000-0100-000013000000}">
      <text>
        <r>
          <rPr>
            <sz val="8"/>
            <color indexed="81"/>
            <rFont val="Tahoma"/>
            <family val="2"/>
          </rPr>
          <t>Total amount of Nitrogen fertiliser applied on pastures (in kg N) - remember that urea is 46%N and DAP is 18% N etc. i.e. 10 tonnes of urea = 10000*46/100 kg N/ha</t>
        </r>
      </text>
    </comment>
    <comment ref="C98" authorId="0" shapeId="0" xr:uid="{00000000-0006-0000-0100-000014000000}">
      <text>
        <r>
          <rPr>
            <sz val="8"/>
            <color indexed="81"/>
            <rFont val="Tahoma"/>
            <family val="2"/>
          </rPr>
          <t>For example, if you are in Gippsland, it is most likely from Victorian Brown Coal. If you deliberately buy power from renewable sources or Green Power, then select the bottom option.
While electricity consumption is not a greenhouse emission at a farm level, it is important to include this to allow you to investigate the impact of increased power use such as for comparing spray irrigation against flood irrigation.</t>
        </r>
      </text>
    </comment>
    <comment ref="B100" authorId="0" shapeId="0" xr:uid="{00000000-0006-0000-0100-000015000000}">
      <text>
        <r>
          <rPr>
            <sz val="8"/>
            <color indexed="81"/>
            <rFont val="Tahoma"/>
            <family val="2"/>
          </rPr>
          <t>How many litres of diesel did the farm use last year?</t>
        </r>
      </text>
    </comment>
    <comment ref="B102" authorId="0" shapeId="0" xr:uid="{00000000-0006-0000-0100-000016000000}">
      <text>
        <r>
          <rPr>
            <sz val="8"/>
            <color indexed="81"/>
            <rFont val="Tahoma"/>
            <family val="2"/>
          </rPr>
          <t>What was your total annual electricity bill for the year in KWh?</t>
        </r>
      </text>
    </comment>
    <comment ref="B111" authorId="1" shapeId="0" xr:uid="{00000000-0006-0000-0100-000017000000}">
      <text>
        <r>
          <rPr>
            <sz val="8"/>
            <color indexed="8"/>
            <rFont val="Tahoma"/>
            <family val="2"/>
          </rPr>
          <t>Insert the total clean wool produce off the property in the year.</t>
        </r>
        <r>
          <rPr>
            <sz val="8"/>
            <color indexed="8"/>
            <rFont val="Tahoma"/>
            <family val="2"/>
          </rPr>
          <t xml:space="preserve">
The spreadsheet can calculate this automatically, but your own figures may be better</t>
        </r>
        <r>
          <rPr>
            <sz val="8"/>
            <color indexed="8"/>
            <rFont val="Tahoma"/>
            <family val="2"/>
          </rPr>
          <t xml:space="preserve">
</t>
        </r>
        <r>
          <rPr>
            <b/>
            <sz val="8"/>
            <color indexed="8"/>
            <rFont val="Tahoma"/>
            <family val="2"/>
          </rPr>
          <t>Note:</t>
        </r>
        <r>
          <rPr>
            <sz val="8"/>
            <color indexed="8"/>
            <rFont val="Tahoma"/>
            <family val="2"/>
          </rPr>
          <t xml:space="preserve"> At this stage the carbon stored in wool is not credited back to the farmer, but this calculator raises the argument that this should be recognised, as "how often do you burn your jumper?" i.e. carbon stored in wool products remains out of the environment for as long, or probably longer, than most wood products..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Seyda Ozkan</author>
  </authors>
  <commentList>
    <comment ref="L12" authorId="0" shapeId="0" xr:uid="{00000000-0006-0000-0200-000001000000}">
      <text>
        <r>
          <rPr>
            <sz val="8"/>
            <color indexed="8"/>
            <rFont val="Tahoma"/>
            <family val="2"/>
          </rPr>
          <t>Actual feed intake of animals is often less than the potential intake due especially to low feed availability. Relative intake is the proportion of potential intake that the animal will consume.</t>
        </r>
      </text>
    </comment>
    <comment ref="B15" authorId="0" shapeId="0" xr:uid="{00000000-0006-0000-0200-000002000000}">
      <text>
        <r>
          <rPr>
            <sz val="8"/>
            <color indexed="8"/>
            <rFont val="Tahoma"/>
            <family val="2"/>
          </rPr>
          <t>Metabolisability of the diet = 0.00795 x DMD - 0.0014 (DMD is expressed as 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Seyda Ozkan</author>
  </authors>
  <commentList>
    <comment ref="B10" authorId="0" shapeId="0" xr:uid="{00000000-0006-0000-0400-000001000000}">
      <text>
        <r>
          <rPr>
            <sz val="8"/>
            <color indexed="8"/>
            <rFont val="Tahoma"/>
            <family val="2"/>
          </rPr>
          <t>Milk intake is calculated as: proportion of lambs receiving milk in each season x milk intake. Milk intake is assumed to be 1.6 kg/day for the first three months after the birth of lambs.</t>
        </r>
      </text>
    </comment>
    <comment ref="B30" authorId="0" shapeId="0" xr:uid="{00000000-0006-0000-0400-000002000000}">
      <text>
        <r>
          <rPr>
            <sz val="8"/>
            <color indexed="8"/>
            <rFont val="Tahoma"/>
            <family val="2"/>
          </rPr>
          <t>Milk production is calculated as: proportion of ewes lactating (LE) x milk production. Milk production is considered to be 1.6 kg/day for breeding ewes in the first three months after the birth of lambs.</t>
        </r>
      </text>
    </comment>
    <comment ref="B35" authorId="0" shapeId="0" xr:uid="{00000000-0006-0000-0400-000003000000}">
      <text>
        <r>
          <rPr>
            <sz val="8"/>
            <color indexed="8"/>
            <rFont val="Tahoma"/>
            <family val="2"/>
          </rPr>
          <t>Clean wool production (WP) is based on ABS average greasy wool production per head multiplied by State average clean yield percentage. Wool production may be reduced by 50% for lactating ewes (SCA, 1990). Accordingly, wool production of ewes was apportioned  pro rata to give recorded annual average wool production. It is assumed that clean wool consists of 16% water and 84% protein.</t>
        </r>
      </text>
    </comment>
    <comment ref="B38" authorId="0" shapeId="0" xr:uid="{00000000-0006-0000-0400-000004000000}">
      <text>
        <r>
          <rPr>
            <sz val="8"/>
            <color indexed="8"/>
            <rFont val="Tahoma"/>
            <family val="2"/>
          </rPr>
          <t>EBG is equivalent to LWG x 0.92</t>
        </r>
      </text>
    </comment>
    <comment ref="B43" authorId="0" shapeId="0" xr:uid="{00000000-0006-0000-0400-000005000000}">
      <text>
        <r>
          <rPr>
            <sz val="8"/>
            <color indexed="8"/>
            <rFont val="Tahoma"/>
            <family val="2"/>
          </rPr>
          <t>Relative size: liveweight / standard reference weight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Seyda Ozkan</author>
  </authors>
  <commentList>
    <comment ref="L37" authorId="0" shapeId="0" xr:uid="{00000000-0006-0000-0500-000001000000}">
      <text>
        <r>
          <rPr>
            <sz val="8"/>
            <color indexed="81"/>
            <rFont val="Tahoma"/>
            <family val="2"/>
          </rPr>
          <t>considered 1 here</t>
        </r>
      </text>
    </comment>
    <comment ref="L53" authorId="0" shapeId="0" xr:uid="{00000000-0006-0000-0500-000002000000}">
      <text>
        <r>
          <rPr>
            <sz val="8"/>
            <color indexed="81"/>
            <rFont val="Tahoma"/>
            <family val="2"/>
          </rPr>
          <t>considered 1 here</t>
        </r>
      </text>
    </comment>
    <comment ref="L179" authorId="0" shapeId="0" xr:uid="{00000000-0006-0000-0500-000003000000}">
      <text>
        <r>
          <rPr>
            <sz val="8"/>
            <color indexed="81"/>
            <rFont val="Tahoma"/>
            <family val="2"/>
          </rPr>
          <t>For further information, please refer to the comment in data input page where Et/P ratio is questioned.</t>
        </r>
      </text>
    </comment>
  </commentList>
</comments>
</file>

<file path=xl/sharedStrings.xml><?xml version="1.0" encoding="utf-8"?>
<sst xmlns="http://schemas.openxmlformats.org/spreadsheetml/2006/main" count="1971" uniqueCount="715">
  <si>
    <t>Sheep Greenhouse Accounting Tool</t>
  </si>
  <si>
    <t>Farm Name</t>
  </si>
  <si>
    <t>Outputs</t>
  </si>
  <si>
    <t>Summary</t>
  </si>
  <si>
    <t>Flock information</t>
  </si>
  <si>
    <t>Rams</t>
  </si>
  <si>
    <t>Wethers</t>
  </si>
  <si>
    <t>Maiden breeding ewes</t>
  </si>
  <si>
    <t>Breeding ewes</t>
  </si>
  <si>
    <t>Other ewes</t>
  </si>
  <si>
    <t>Lambs and hoggets</t>
  </si>
  <si>
    <t>Units</t>
  </si>
  <si>
    <r>
      <t>CO</t>
    </r>
    <r>
      <rPr>
        <vertAlign val="subscript"/>
        <sz val="11"/>
        <color indexed="8"/>
        <rFont val="Times New Roman"/>
        <family val="1"/>
      </rPr>
      <t>2</t>
    </r>
  </si>
  <si>
    <t>Livestock Numbers</t>
  </si>
  <si>
    <r>
      <t>CH</t>
    </r>
    <r>
      <rPr>
        <vertAlign val="subscript"/>
        <sz val="11"/>
        <color indexed="8"/>
        <rFont val="Times New Roman"/>
        <family val="1"/>
      </rPr>
      <t>4</t>
    </r>
  </si>
  <si>
    <t>Liveweight</t>
  </si>
  <si>
    <r>
      <t>N</t>
    </r>
    <r>
      <rPr>
        <vertAlign val="subscript"/>
        <sz val="11"/>
        <color indexed="8"/>
        <rFont val="Times New Roman"/>
        <family val="1"/>
      </rPr>
      <t>2</t>
    </r>
    <r>
      <rPr>
        <sz val="11"/>
        <color indexed="8"/>
        <rFont val="Times New Roman"/>
        <family val="1"/>
      </rPr>
      <t>O</t>
    </r>
  </si>
  <si>
    <t>Live weight gain</t>
  </si>
  <si>
    <t>Dry Matter Availability</t>
  </si>
  <si>
    <t>Proportion of ewes lambing</t>
  </si>
  <si>
    <t>Crude Protein</t>
  </si>
  <si>
    <t>Net Farm Emissions</t>
  </si>
  <si>
    <t>Area Improved Pasture</t>
  </si>
  <si>
    <t>ha</t>
  </si>
  <si>
    <t>Area cropped</t>
  </si>
  <si>
    <t>Nitrogen Fertiliser Pastures</t>
  </si>
  <si>
    <t>Nitrogen Fertiliser Crops</t>
  </si>
  <si>
    <t>Annual Diesel Consumption</t>
  </si>
  <si>
    <t>litres/year</t>
  </si>
  <si>
    <t>Annual Electricity Use</t>
  </si>
  <si>
    <t>KWh</t>
  </si>
  <si>
    <t>Power Source</t>
  </si>
  <si>
    <t>Carbon content of Wool</t>
  </si>
  <si>
    <t>%</t>
  </si>
  <si>
    <t>Clean Wool (t/year)</t>
  </si>
  <si>
    <t>Note: This is NOT counted!</t>
  </si>
  <si>
    <t>Enter your farm data for each animal class and season</t>
  </si>
  <si>
    <t>Spring</t>
  </si>
  <si>
    <t>head</t>
  </si>
  <si>
    <t>Summer</t>
  </si>
  <si>
    <t>Autumn</t>
  </si>
  <si>
    <t>Winter</t>
  </si>
  <si>
    <t>Average</t>
  </si>
  <si>
    <t>kg/day</t>
  </si>
  <si>
    <t>t/ha</t>
  </si>
  <si>
    <t>Seasonal lambing rates</t>
  </si>
  <si>
    <t>Crude Protein (CP)</t>
  </si>
  <si>
    <t>Dry matter digestibility (DMD)</t>
  </si>
  <si>
    <t>MJ/kg DM</t>
  </si>
  <si>
    <t>Greasy Wool Prod</t>
  </si>
  <si>
    <t>kg/hd/year</t>
  </si>
  <si>
    <t>Clean wool yield</t>
  </si>
  <si>
    <t>Area improved pasture</t>
  </si>
  <si>
    <t>Nitrogen Fertiliser Pasture</t>
  </si>
  <si>
    <t>kg N/season</t>
  </si>
  <si>
    <t>Methane emissions from enteric fermentation</t>
  </si>
  <si>
    <t>Data Input</t>
  </si>
  <si>
    <t>Seasons</t>
  </si>
  <si>
    <t>Methane calculation</t>
  </si>
  <si>
    <t>Liveweight (W)</t>
  </si>
  <si>
    <t>Potential intake (PI)</t>
  </si>
  <si>
    <t>PI = (104.7 x q + 0.307 x W - 15.0) x W^0.75 / 1000</t>
  </si>
  <si>
    <t>4A.3_1</t>
  </si>
  <si>
    <t>q = metabolisability of the diet</t>
  </si>
  <si>
    <t>kg DM/head/day</t>
  </si>
  <si>
    <t>Relative intake (RI)</t>
  </si>
  <si>
    <t>RI = 1 - exp (-2 x (DMA)^2)</t>
  </si>
  <si>
    <t>4A.3_2</t>
  </si>
  <si>
    <t>DMA = dry matter availability</t>
  </si>
  <si>
    <t>Metabolisability of the diet (q)</t>
  </si>
  <si>
    <t>Actual intake (I)</t>
  </si>
  <si>
    <t>I = PI x RI x MA</t>
  </si>
  <si>
    <t>4A.3_3</t>
  </si>
  <si>
    <t>Dry matter availability</t>
  </si>
  <si>
    <t>MA = additional intake for milk production</t>
  </si>
  <si>
    <t>(proportion of lambs receiving milk)</t>
  </si>
  <si>
    <t>Additional intake for milk production (MA)</t>
  </si>
  <si>
    <t>MA = (LE x FA) + ((1 - LE) x 1)</t>
  </si>
  <si>
    <t>4A.3_4</t>
  </si>
  <si>
    <t>LE = proportion of breeding ewes lactating</t>
  </si>
  <si>
    <t xml:space="preserve">FA = feed adjustment </t>
  </si>
  <si>
    <t>Methane production (M)</t>
  </si>
  <si>
    <t>M = I x 0.0188 + 0.00158</t>
  </si>
  <si>
    <t>4A.3_5</t>
  </si>
  <si>
    <t>Proportion of breeding ewes lactating (LE)</t>
  </si>
  <si>
    <t>kg/head/day</t>
  </si>
  <si>
    <t>Livestock numbers</t>
  </si>
  <si>
    <t>Seasonal methane production (E)</t>
  </si>
  <si>
    <t>E = (91.25 x N x M) x 10^-6</t>
  </si>
  <si>
    <t>4A.3_6</t>
  </si>
  <si>
    <t>Gg CH4/farm/season</t>
  </si>
  <si>
    <t>Grand total</t>
  </si>
  <si>
    <t>Gg CH4/farm/year</t>
  </si>
  <si>
    <t>Gg CO2-e/farm/year</t>
  </si>
  <si>
    <t>t CO2-e/farm/year</t>
  </si>
  <si>
    <t>Methane emissions from manure in the field</t>
  </si>
  <si>
    <t>NSW/ACT</t>
  </si>
  <si>
    <t>NT</t>
  </si>
  <si>
    <t>SA</t>
  </si>
  <si>
    <t>Livestock numbers (N)</t>
  </si>
  <si>
    <t>Methane production from manure</t>
  </si>
  <si>
    <t>4B.3_1</t>
  </si>
  <si>
    <t>kg CH4/head/day</t>
  </si>
  <si>
    <t>E = (N x M x 91.25) x 10^-6</t>
  </si>
  <si>
    <t>4B.3_2</t>
  </si>
  <si>
    <t>Nitrous oxide emissions from different manure management systems (MMS)</t>
  </si>
  <si>
    <t>Faecal nitrous oxide calculation</t>
  </si>
  <si>
    <t>Crude protein intake (CPI) of sheep</t>
  </si>
  <si>
    <t>CPI = I x CP + (0.045 x MC)</t>
  </si>
  <si>
    <t>4B.3_3</t>
  </si>
  <si>
    <t>CP = crude protein content of feed intake expressed as a fraction</t>
  </si>
  <si>
    <t>Milk intake (MC)</t>
  </si>
  <si>
    <t>Nitrogen excreted in faeces (F)</t>
  </si>
  <si>
    <t>F = {0.3 x (CPI x (1 - [(DMD + 10) / 100])) + 0.105 x (ME x I x 0.008) + 0.08 x (0.045 x MC) + 0.0152 x I} / 6.25</t>
  </si>
  <si>
    <t>4B.3_4</t>
  </si>
  <si>
    <t>Nitrogen retained in the body (NR)</t>
  </si>
  <si>
    <t>NR = {(0.045 x MP) + (WP x 0.84) + {[(212 - 4 x {[(EBG x 1000) / (4 x SRW^0.75)] -1}) - (140 - 4 x {[(EBG x 1000) / (4 x SRW^0.75)] - 1}) / {1 + exp (-6 x (Z - 0.4))}] x EBG} / 1000 / 6.25</t>
  </si>
  <si>
    <t>4B.3_5</t>
  </si>
  <si>
    <t>kg</t>
  </si>
  <si>
    <t>Appendix 6.D.7</t>
  </si>
  <si>
    <t>Metabolisable energy (ME)</t>
  </si>
  <si>
    <t>Standard reference weight (SRW)</t>
  </si>
  <si>
    <t xml:space="preserve">Milk production (MP) </t>
  </si>
  <si>
    <t>Wool production (WP)</t>
  </si>
  <si>
    <t>Empty body gain (EBG)</t>
  </si>
  <si>
    <t>N excreted in urine (U)</t>
  </si>
  <si>
    <t>U = (CPI / 6.25) - NR - F</t>
  </si>
  <si>
    <t>4B.3_6</t>
  </si>
  <si>
    <t>Relative size (Z)</t>
  </si>
  <si>
    <t>Seasonal faecal N excreted (AF)</t>
  </si>
  <si>
    <t>AF = (N x F x 91.25) x 10^-6</t>
  </si>
  <si>
    <t>4B.3_7a</t>
  </si>
  <si>
    <t>Gg/farm/season</t>
  </si>
  <si>
    <t>Sesonal urinary N excreted (AU)</t>
  </si>
  <si>
    <t>AU = (N x U x 91.25) x 10^-6</t>
  </si>
  <si>
    <t>4B.3_7b</t>
  </si>
  <si>
    <t>Factor to convert elemental mass of N2O to molecular mass (Cg)</t>
  </si>
  <si>
    <t>Seasonal faecal and urinary N excreted (AE)</t>
  </si>
  <si>
    <t>AE = AF + AU</t>
  </si>
  <si>
    <t>Gg N2O/farm/season</t>
  </si>
  <si>
    <t>Gg N2O/farm/year</t>
  </si>
  <si>
    <t>Nitrous Oxide production from agricultural soils</t>
  </si>
  <si>
    <t>Nitrogen fertiliser crops TM</t>
  </si>
  <si>
    <t>N Fertiliser Pastures TM</t>
  </si>
  <si>
    <t>N2O emissions from synthetic fertiliser</t>
  </si>
  <si>
    <t>Mass of fertiliser appplied (M)</t>
  </si>
  <si>
    <t>M = TM x FN</t>
  </si>
  <si>
    <t>4D1_1</t>
  </si>
  <si>
    <t>TM = total mass of fertiliser</t>
  </si>
  <si>
    <t>Gg N</t>
  </si>
  <si>
    <t>FN = fraction of N applied to production system</t>
  </si>
  <si>
    <t>N Fertiliser crops</t>
  </si>
  <si>
    <t>Gg N/season</t>
  </si>
  <si>
    <t>N Fertiliser Pastures</t>
  </si>
  <si>
    <t>E = (M x EF x Cg)</t>
  </si>
  <si>
    <t>Table 6.22</t>
  </si>
  <si>
    <t>Production system</t>
  </si>
  <si>
    <t>Irrigated pasture</t>
  </si>
  <si>
    <t>Irrigated crop</t>
  </si>
  <si>
    <t>Non-irrigated pasture</t>
  </si>
  <si>
    <t>Non-irrigated crop</t>
  </si>
  <si>
    <t>Total</t>
  </si>
  <si>
    <t>Gg</t>
  </si>
  <si>
    <t>E = M x EF x Cg</t>
  </si>
  <si>
    <t>4D2_3</t>
  </si>
  <si>
    <t>M = TM x FracGASF</t>
  </si>
  <si>
    <t>4D3_1</t>
  </si>
  <si>
    <t>Leaching of organic nitrogen and subsequent denitrification in rivers and estuaries</t>
  </si>
  <si>
    <t>The mass of fertiliser N applied to soils that is lost through leaching and runoff (M)</t>
  </si>
  <si>
    <t>M = M x FracWET x FracLEACH</t>
  </si>
  <si>
    <t>4D3_5</t>
  </si>
  <si>
    <t>M = mass of fertiliser in each production system</t>
  </si>
  <si>
    <t>FracWET  (fraction of N available for leaching and runoff)</t>
  </si>
  <si>
    <t>FracLEACH</t>
  </si>
  <si>
    <t>4D3_6</t>
  </si>
  <si>
    <t>Total N2O production from leaching and runoff</t>
  </si>
  <si>
    <t>Energy - Fuel and Electricity</t>
  </si>
  <si>
    <t>kWh</t>
  </si>
  <si>
    <t>CO2 emissions from diesel use</t>
  </si>
  <si>
    <t>t CO2-e</t>
  </si>
  <si>
    <t xml:space="preserve">Dry matter digestibility </t>
  </si>
  <si>
    <t>No inputs required for clean wool</t>
  </si>
  <si>
    <t>State</t>
  </si>
  <si>
    <t>t/year</t>
  </si>
  <si>
    <t>Clean Wool</t>
  </si>
  <si>
    <t>Live weight gain (LWG)</t>
  </si>
  <si>
    <t>kg/head</t>
  </si>
  <si>
    <t>Inventory reference</t>
  </si>
  <si>
    <t>kg N/ha</t>
  </si>
  <si>
    <t>kg N/ ha</t>
  </si>
  <si>
    <t xml:space="preserve">Dry matter digestibility (DMD) </t>
  </si>
  <si>
    <t>Crude protein (CP) content of feed</t>
  </si>
  <si>
    <t>Average seasonal lambing rates</t>
  </si>
  <si>
    <t>zero and 1, not a %</t>
  </si>
  <si>
    <t xml:space="preserve">This must be a number between </t>
  </si>
  <si>
    <t xml:space="preserve">proportion i.e. for 80% in spring </t>
  </si>
  <si>
    <t xml:space="preserve">Not the percentage, but the </t>
  </si>
  <si>
    <t>Dryland</t>
  </si>
  <si>
    <t>Irrigated</t>
  </si>
  <si>
    <t>Revised Inventory reference</t>
  </si>
  <si>
    <t>3A.2_1</t>
  </si>
  <si>
    <t>3A.2_4</t>
  </si>
  <si>
    <t>3A.2_3</t>
  </si>
  <si>
    <t>3A.2_5</t>
  </si>
  <si>
    <t>3A.2_6</t>
  </si>
  <si>
    <t>3B.2_1</t>
  </si>
  <si>
    <t>M = I x (1 - DMD) x EFT</t>
  </si>
  <si>
    <t>3B.2_2</t>
  </si>
  <si>
    <t>3B.2_3</t>
  </si>
  <si>
    <t>3B.2_4</t>
  </si>
  <si>
    <t>3B.2_5</t>
  </si>
  <si>
    <t>3B.2_6</t>
  </si>
  <si>
    <t>3B.2_7a</t>
  </si>
  <si>
    <t>3B.2_7b</t>
  </si>
  <si>
    <t>3DA_1</t>
  </si>
  <si>
    <t>Diesel</t>
  </si>
  <si>
    <t>Australia’s thermal electricity generation capacity, 2009–10</t>
  </si>
  <si>
    <t>Revised Inventory Reference</t>
  </si>
  <si>
    <t>ACT</t>
  </si>
  <si>
    <t>Tas</t>
  </si>
  <si>
    <t>SW WA</t>
  </si>
  <si>
    <t>Vic</t>
  </si>
  <si>
    <t>Qld</t>
  </si>
  <si>
    <t>NT&amp;NW WA</t>
  </si>
  <si>
    <t>Annual diesel consumption</t>
  </si>
  <si>
    <t>kL/year</t>
  </si>
  <si>
    <t xml:space="preserve">Table 3 (Dept of Environment 2015) </t>
  </si>
  <si>
    <t>NSW</t>
  </si>
  <si>
    <t>Steam Black Coal</t>
  </si>
  <si>
    <t>Energy Content (ECi)</t>
  </si>
  <si>
    <t>GJ/kL</t>
  </si>
  <si>
    <t>Steam Brown Coal</t>
  </si>
  <si>
    <t>Emission Factor (Diesel Oil)</t>
  </si>
  <si>
    <t>kg CO2-e/GJ</t>
  </si>
  <si>
    <t>Steam Gas</t>
  </si>
  <si>
    <t>Steam Multi-fuel</t>
  </si>
  <si>
    <t>Eij = (Qi x ECi x Efijoxec)*10^-3</t>
  </si>
  <si>
    <t>Reciprocating Engine</t>
  </si>
  <si>
    <t>Eij = emissions of gas type</t>
  </si>
  <si>
    <t>tCO2</t>
  </si>
  <si>
    <t>Open Cycle Conventional Gas</t>
  </si>
  <si>
    <t>Qi =  quantity of fuel type</t>
  </si>
  <si>
    <t>kl</t>
  </si>
  <si>
    <t xml:space="preserve">2.3.1 (Dept of Environment 2015) </t>
  </si>
  <si>
    <t>Open Cycle Coal Seam Gas</t>
  </si>
  <si>
    <t>ECi = energy content factor of fuel type</t>
  </si>
  <si>
    <t>Gj/l</t>
  </si>
  <si>
    <t>NW WA</t>
  </si>
  <si>
    <t>Open Cycle Oil Products</t>
  </si>
  <si>
    <t>EFijoxec = emission factor</t>
  </si>
  <si>
    <t>kg CO2-e/Gj</t>
  </si>
  <si>
    <t>Selected State</t>
  </si>
  <si>
    <t>Open Cycle Multi-fuel</t>
  </si>
  <si>
    <t>Combined Conventional Gas</t>
  </si>
  <si>
    <t>t CO2</t>
  </si>
  <si>
    <t>Electricity Source</t>
  </si>
  <si>
    <t>Combined Coal Seam Gas</t>
  </si>
  <si>
    <t>State Grid</t>
  </si>
  <si>
    <t>Gas</t>
  </si>
  <si>
    <t>Renewable</t>
  </si>
  <si>
    <t>Capacity of renewable electricity generation in Australia, 2010</t>
  </si>
  <si>
    <t>Annual Gas Consumption (LPG)</t>
  </si>
  <si>
    <t>Weighted Average Emissions Intensity kg CO2/KWh</t>
  </si>
  <si>
    <t>Renewables</t>
  </si>
  <si>
    <t>Black Coal</t>
  </si>
  <si>
    <t>Brown Coal</t>
  </si>
  <si>
    <t>Distillate/Liquid Fuel</t>
  </si>
  <si>
    <t>Hydro</t>
  </si>
  <si>
    <t>Emission Factor (LPG)</t>
  </si>
  <si>
    <t>Wind</t>
  </si>
  <si>
    <t>Bioenergy</t>
  </si>
  <si>
    <t>Solar</t>
  </si>
  <si>
    <t>Solar Thermal</t>
  </si>
  <si>
    <t>Geothermal</t>
  </si>
  <si>
    <t>Wave</t>
  </si>
  <si>
    <t>Total Renewables</t>
  </si>
  <si>
    <t>CO2-e emissions from gas use</t>
  </si>
  <si>
    <t>Totals</t>
  </si>
  <si>
    <t>(Derived from ACIL ALLEN CONSULTING 2013, Tables 1&amp;2)</t>
  </si>
  <si>
    <t>Electricity</t>
  </si>
  <si>
    <t>Proportion of Electricity Generation</t>
  </si>
  <si>
    <t>Annual electricity use (kWh)</t>
  </si>
  <si>
    <t>Annual electricity use (MWh)</t>
  </si>
  <si>
    <t>MWh</t>
  </si>
  <si>
    <t>State Reference</t>
  </si>
  <si>
    <t>Ref</t>
  </si>
  <si>
    <t>Electricity Reference</t>
  </si>
  <si>
    <t>Electricty Reference Multiplier</t>
  </si>
  <si>
    <t>Proportion of Electricty Source</t>
  </si>
  <si>
    <t>Fuel Type</t>
  </si>
  <si>
    <t xml:space="preserve">Weighted Average Emissions </t>
  </si>
  <si>
    <t>Fraction of Supply</t>
  </si>
  <si>
    <t>Source: Department of Resources, Energy and Tourism and Bureau of Resources and Energy Economics (2012), Tables 10 and 15</t>
  </si>
  <si>
    <t>kg CO2/KWh</t>
  </si>
  <si>
    <t>(Derived from Department of Resources, Energy and Tourism and Bureau of Resources and Energy Economics (2012), Tables 10 and 15)</t>
  </si>
  <si>
    <t>Region</t>
  </si>
  <si>
    <t xml:space="preserve">Generator </t>
  </si>
  <si>
    <t xml:space="preserve">Fuel type </t>
  </si>
  <si>
    <t xml:space="preserve">Emissions Intensity </t>
  </si>
  <si>
    <t>Capacity</t>
  </si>
  <si>
    <t xml:space="preserve">(kg CO2-e/kWh </t>
  </si>
  <si>
    <t xml:space="preserve">(gross kW) </t>
  </si>
  <si>
    <t>Emissions from Electricity Generation</t>
  </si>
  <si>
    <t>sent-out)</t>
  </si>
  <si>
    <t>Black coal</t>
  </si>
  <si>
    <t>kg CO2</t>
  </si>
  <si>
    <t xml:space="preserve">AGL SF PV Broken Hill </t>
  </si>
  <si>
    <t xml:space="preserve">Solar </t>
  </si>
  <si>
    <t>Brown coal</t>
  </si>
  <si>
    <t xml:space="preserve">AGL SF PV Nyngan </t>
  </si>
  <si>
    <t xml:space="preserve">Bayswater </t>
  </si>
  <si>
    <t xml:space="preserve">Black coal </t>
  </si>
  <si>
    <t xml:space="preserve">Bendeela Pumps </t>
  </si>
  <si>
    <t xml:space="preserve">n/a </t>
  </si>
  <si>
    <t>Renewable Energy</t>
  </si>
  <si>
    <t xml:space="preserve">Blowering </t>
  </si>
  <si>
    <t xml:space="preserve">Hydro </t>
  </si>
  <si>
    <t xml:space="preserve">Colongra </t>
  </si>
  <si>
    <t xml:space="preserve">Natural gas </t>
  </si>
  <si>
    <t>CO2-e emissions from electricity use</t>
  </si>
  <si>
    <t xml:space="preserve">Eraring </t>
  </si>
  <si>
    <t xml:space="preserve">Gunning Wind Farm </t>
  </si>
  <si>
    <t xml:space="preserve">Wind </t>
  </si>
  <si>
    <t xml:space="preserve">Guthega </t>
  </si>
  <si>
    <t>Total CO2 Emissions Energy</t>
  </si>
  <si>
    <t>t CO2/year</t>
  </si>
  <si>
    <t xml:space="preserve">Hume NSW </t>
  </si>
  <si>
    <t xml:space="preserve">Hunter Valley GT </t>
  </si>
  <si>
    <t xml:space="preserve">Liquid fuel </t>
  </si>
  <si>
    <t xml:space="preserve">Liddell </t>
  </si>
  <si>
    <t xml:space="preserve">Mt Piper </t>
  </si>
  <si>
    <t xml:space="preserve">Munmorah a </t>
  </si>
  <si>
    <t>CH4 Emission Factor (Diesel Oil)</t>
  </si>
  <si>
    <t xml:space="preserve">Redbank </t>
  </si>
  <si>
    <t>N2O Emission Factor (Diesel Oil)</t>
  </si>
  <si>
    <t xml:space="preserve">Shoalhaven Bendeela </t>
  </si>
  <si>
    <t xml:space="preserve">Smithfield </t>
  </si>
  <si>
    <t>Non CO2 emissions from Diesel</t>
  </si>
  <si>
    <t xml:space="preserve">Tallawarra </t>
  </si>
  <si>
    <t>tCO2-e</t>
  </si>
  <si>
    <t xml:space="preserve">Tumut 1 </t>
  </si>
  <si>
    <t xml:space="preserve">Tumut 3 </t>
  </si>
  <si>
    <t>Gj/kL</t>
  </si>
  <si>
    <t xml:space="preserve">Tumut 3 Pumps </t>
  </si>
  <si>
    <t xml:space="preserve">Uranquinty </t>
  </si>
  <si>
    <t xml:space="preserve">Vales Point B </t>
  </si>
  <si>
    <t>CH4 emissions from diesel use</t>
  </si>
  <si>
    <t>t CO2e</t>
  </si>
  <si>
    <t xml:space="preserve">Wallerawang C </t>
  </si>
  <si>
    <t>N2O emissions from diesel use</t>
  </si>
  <si>
    <t xml:space="preserve">Woodlawn Wind Farm </t>
  </si>
  <si>
    <t xml:space="preserve">Barcaldine </t>
  </si>
  <si>
    <t xml:space="preserve">Barron Gorge </t>
  </si>
  <si>
    <t xml:space="preserve">Braemar 1 </t>
  </si>
  <si>
    <t>Annual gas consumption</t>
  </si>
  <si>
    <t xml:space="preserve">Braemar 2 </t>
  </si>
  <si>
    <t xml:space="preserve">Callide B </t>
  </si>
  <si>
    <t>CH4 Emission Factor (Gas)</t>
  </si>
  <si>
    <t xml:space="preserve">Callide C </t>
  </si>
  <si>
    <t>N2O Emission Factor (Gas)</t>
  </si>
  <si>
    <t xml:space="preserve">Collinsville a </t>
  </si>
  <si>
    <t xml:space="preserve">Condamine </t>
  </si>
  <si>
    <t>Non CO2 emissions from Natural Gas</t>
  </si>
  <si>
    <t xml:space="preserve">Darling Downs </t>
  </si>
  <si>
    <t xml:space="preserve">Gladstone </t>
  </si>
  <si>
    <t xml:space="preserve">Kareeya </t>
  </si>
  <si>
    <t xml:space="preserve">Kogan Creek </t>
  </si>
  <si>
    <t xml:space="preserve">Mackay GT </t>
  </si>
  <si>
    <t xml:space="preserve">Millmerran </t>
  </si>
  <si>
    <t>CH4 emissions from gas use</t>
  </si>
  <si>
    <t xml:space="preserve">Mt Stuart </t>
  </si>
  <si>
    <t>N2O emissions from gas use</t>
  </si>
  <si>
    <t xml:space="preserve">Oakey </t>
  </si>
  <si>
    <t xml:space="preserve">Roma </t>
  </si>
  <si>
    <t>Total CH4 Emissions</t>
  </si>
  <si>
    <t xml:space="preserve">Stanwell </t>
  </si>
  <si>
    <t>Total N2O Emissions</t>
  </si>
  <si>
    <t xml:space="preserve">Swanbank B a </t>
  </si>
  <si>
    <t xml:space="preserve">Swanbank E </t>
  </si>
  <si>
    <t>References</t>
  </si>
  <si>
    <t xml:space="preserve">Tarong </t>
  </si>
  <si>
    <t>ACIL Allen Consulting (2013), Electricity Sector Emissions - Modelling of the Australian Electricity Generation Sector:</t>
  </si>
  <si>
    <t xml:space="preserve">Tarong North </t>
  </si>
  <si>
    <t xml:space="preserve">Report to the Department Of Innovation, Industry, Climate Change, Science, Research and Tertiary Education, ACIL Allen Consulting </t>
  </si>
  <si>
    <t xml:space="preserve">Townsville </t>
  </si>
  <si>
    <t>Department of Environment (2015) National Greenhouse Gas Factors - Australian National Greenhouse Accounts, Commonwealth of Australia</t>
  </si>
  <si>
    <t xml:space="preserve">Wivenhoe </t>
  </si>
  <si>
    <t>Department of Resources, Energy and Tourism and Bureau of Resources and Energy Economics (2012) Energy in Australia 2012, Commonwealth of Australia</t>
  </si>
  <si>
    <t xml:space="preserve">Wivenhoe Pump </t>
  </si>
  <si>
    <t xml:space="preserve">Yarwun </t>
  </si>
  <si>
    <t xml:space="preserve">Angaston </t>
  </si>
  <si>
    <t xml:space="preserve">Bluff WF </t>
  </si>
  <si>
    <t xml:space="preserve">Clements Gap Wind Farm </t>
  </si>
  <si>
    <t xml:space="preserve">Dry Creek </t>
  </si>
  <si>
    <t xml:space="preserve">Hallett </t>
  </si>
  <si>
    <t xml:space="preserve">Hallett 2 Wind Farm </t>
  </si>
  <si>
    <t xml:space="preserve">Hallett Wind Farm </t>
  </si>
  <si>
    <t xml:space="preserve">Ladbroke Grove </t>
  </si>
  <si>
    <t xml:space="preserve">Lake Bonney 2 Wind Farm </t>
  </si>
  <si>
    <t xml:space="preserve">Lake Bonney 3 Wind Farm </t>
  </si>
  <si>
    <t xml:space="preserve">Mintaro </t>
  </si>
  <si>
    <t xml:space="preserve">North Brown Hill Wind Farm </t>
  </si>
  <si>
    <t xml:space="preserve">Northern </t>
  </si>
  <si>
    <t xml:space="preserve">Brown coal </t>
  </si>
  <si>
    <t xml:space="preserve">Osborne </t>
  </si>
  <si>
    <t xml:space="preserve">Pelican Point </t>
  </si>
  <si>
    <t xml:space="preserve">Playford B a </t>
  </si>
  <si>
    <t xml:space="preserve">Port Lincoln </t>
  </si>
  <si>
    <t xml:space="preserve">Quarantine </t>
  </si>
  <si>
    <t xml:space="preserve">Snowtown 2 Wind Farm </t>
  </si>
  <si>
    <t xml:space="preserve">Snowtown Wind Farm </t>
  </si>
  <si>
    <t xml:space="preserve">Snuggery </t>
  </si>
  <si>
    <t xml:space="preserve">Torrens Island A </t>
  </si>
  <si>
    <t xml:space="preserve">Torrens Island B </t>
  </si>
  <si>
    <t xml:space="preserve">Waterloo Wind Farm </t>
  </si>
  <si>
    <t xml:space="preserve">Bastyan </t>
  </si>
  <si>
    <t xml:space="preserve">Bell Bay </t>
  </si>
  <si>
    <t xml:space="preserve">Bell Bay Three </t>
  </si>
  <si>
    <t xml:space="preserve">Cethana </t>
  </si>
  <si>
    <t xml:space="preserve">Devils Gate </t>
  </si>
  <si>
    <t xml:space="preserve">Fisher </t>
  </si>
  <si>
    <t xml:space="preserve">Gordon </t>
  </si>
  <si>
    <t xml:space="preserve">John Butters </t>
  </si>
  <si>
    <t xml:space="preserve">Lake Echo </t>
  </si>
  <si>
    <t xml:space="preserve">Lemonthyme_Wilmot </t>
  </si>
  <si>
    <t xml:space="preserve">Liapootah_Wayatinah_Catagunya </t>
  </si>
  <si>
    <t xml:space="preserve">Mackintosh </t>
  </si>
  <si>
    <t xml:space="preserve">Meadowbank </t>
  </si>
  <si>
    <t xml:space="preserve">Musselroe Wind Farm </t>
  </si>
  <si>
    <t xml:space="preserve">Poatina </t>
  </si>
  <si>
    <t xml:space="preserve">Reece </t>
  </si>
  <si>
    <t xml:space="preserve">Tamar Valley </t>
  </si>
  <si>
    <t xml:space="preserve">Tamar Valley GT </t>
  </si>
  <si>
    <t xml:space="preserve">Tarraleah </t>
  </si>
  <si>
    <t xml:space="preserve">Trevallyn </t>
  </si>
  <si>
    <t xml:space="preserve">Tribute </t>
  </si>
  <si>
    <t xml:space="preserve">Tungatinah </t>
  </si>
  <si>
    <t xml:space="preserve">Anglesea </t>
  </si>
  <si>
    <t xml:space="preserve">Bairnsdale </t>
  </si>
  <si>
    <t xml:space="preserve">Dartmouth </t>
  </si>
  <si>
    <t xml:space="preserve">Eildon </t>
  </si>
  <si>
    <t xml:space="preserve">Energy Brix </t>
  </si>
  <si>
    <t xml:space="preserve">Hazelwood </t>
  </si>
  <si>
    <t xml:space="preserve">Hume VIC </t>
  </si>
  <si>
    <t xml:space="preserve">Jeeralang A </t>
  </si>
  <si>
    <t xml:space="preserve">Jeeralang B </t>
  </si>
  <si>
    <t xml:space="preserve">Laverton North </t>
  </si>
  <si>
    <t xml:space="preserve">Loy Yang A </t>
  </si>
  <si>
    <t xml:space="preserve">Loy Yang B </t>
  </si>
  <si>
    <t xml:space="preserve">Macarthur Wind Farm </t>
  </si>
  <si>
    <t xml:space="preserve">McKay </t>
  </si>
  <si>
    <t xml:space="preserve">Mortlake </t>
  </si>
  <si>
    <t xml:space="preserve">Mt Mercer Wind Farm </t>
  </si>
  <si>
    <t xml:space="preserve">Murray </t>
  </si>
  <si>
    <t xml:space="preserve">Newport </t>
  </si>
  <si>
    <t xml:space="preserve">Oaklands Hill Wind Farm </t>
  </si>
  <si>
    <t xml:space="preserve">Somerton </t>
  </si>
  <si>
    <t xml:space="preserve">Valley Power </t>
  </si>
  <si>
    <t xml:space="preserve">West Kiewa </t>
  </si>
  <si>
    <t xml:space="preserve">Yallourn </t>
  </si>
  <si>
    <t xml:space="preserve">Albany </t>
  </si>
  <si>
    <t xml:space="preserve">Alcoa Kwinana Cogen </t>
  </si>
  <si>
    <t xml:space="preserve">Alcoa Pinjarra Cogen </t>
  </si>
  <si>
    <t xml:space="preserve">Alcoa Wagerup Cogen </t>
  </si>
  <si>
    <t xml:space="preserve">Bluewaters </t>
  </si>
  <si>
    <t xml:space="preserve">BP Cogen </t>
  </si>
  <si>
    <t xml:space="preserve">Canning/Melville LFG </t>
  </si>
  <si>
    <t xml:space="preserve">Landfill gas </t>
  </si>
  <si>
    <t xml:space="preserve">Cockburn </t>
  </si>
  <si>
    <t xml:space="preserve">Collgar Wind Farm </t>
  </si>
  <si>
    <t xml:space="preserve">Collie </t>
  </si>
  <si>
    <t xml:space="preserve">Emu downs </t>
  </si>
  <si>
    <t xml:space="preserve">Geraldton </t>
  </si>
  <si>
    <t xml:space="preserve">Distillate </t>
  </si>
  <si>
    <t xml:space="preserve">Grasmere </t>
  </si>
  <si>
    <t xml:space="preserve">Greenough River </t>
  </si>
  <si>
    <t xml:space="preserve">Kalgoorlie </t>
  </si>
  <si>
    <t xml:space="preserve">Kalgoorlie Nickel </t>
  </si>
  <si>
    <t xml:space="preserve">Kemerton </t>
  </si>
  <si>
    <t xml:space="preserve">Kwinana A </t>
  </si>
  <si>
    <t xml:space="preserve">Kwinana B </t>
  </si>
  <si>
    <t xml:space="preserve">Kwinana C </t>
  </si>
  <si>
    <t xml:space="preserve">Kwinana GT </t>
  </si>
  <si>
    <t xml:space="preserve">Kwinana HEGT </t>
  </si>
  <si>
    <t xml:space="preserve">Muja A&amp;B </t>
  </si>
  <si>
    <t xml:space="preserve">Muja C </t>
  </si>
  <si>
    <t xml:space="preserve">Muja D </t>
  </si>
  <si>
    <t xml:space="preserve">Mumbida </t>
  </si>
  <si>
    <t xml:space="preserve">Mungarra </t>
  </si>
  <si>
    <t xml:space="preserve">Namarkkon </t>
  </si>
  <si>
    <t xml:space="preserve">Neerabup Peaker </t>
  </si>
  <si>
    <t xml:space="preserve">Newgen Power </t>
  </si>
  <si>
    <t xml:space="preserve">Parkeston SCE </t>
  </si>
  <si>
    <t xml:space="preserve">Pinjar A B </t>
  </si>
  <si>
    <t xml:space="preserve">Pinjar C </t>
  </si>
  <si>
    <t xml:space="preserve">Pinjar D </t>
  </si>
  <si>
    <t xml:space="preserve">Pinjarra Alinta Cogen </t>
  </si>
  <si>
    <t xml:space="preserve">Tesla (various sites) </t>
  </si>
  <si>
    <t xml:space="preserve">Tiwest Cogen </t>
  </si>
  <si>
    <t xml:space="preserve">Wagerup Alinta Peaker </t>
  </si>
  <si>
    <t xml:space="preserve">Walkaway </t>
  </si>
  <si>
    <t xml:space="preserve">Western Energy Peaker </t>
  </si>
  <si>
    <t xml:space="preserve">Worsley </t>
  </si>
  <si>
    <t xml:space="preserve">Worsley SWCJV </t>
  </si>
  <si>
    <t xml:space="preserve">Burrup Peninsula </t>
  </si>
  <si>
    <t xml:space="preserve">Cape Lambert a </t>
  </si>
  <si>
    <t xml:space="preserve">Cape Preston </t>
  </si>
  <si>
    <t xml:space="preserve">Dampier a </t>
  </si>
  <si>
    <t xml:space="preserve">Karratha </t>
  </si>
  <si>
    <t xml:space="preserve">Karratha ACTO </t>
  </si>
  <si>
    <t xml:space="preserve">Paraburdoo </t>
  </si>
  <si>
    <t xml:space="preserve">Port Hedland </t>
  </si>
  <si>
    <t xml:space="preserve">Berrimah </t>
  </si>
  <si>
    <t xml:space="preserve">Channel Island u1-3 </t>
  </si>
  <si>
    <t xml:space="preserve">Channel Island u4-6 </t>
  </si>
  <si>
    <t xml:space="preserve">Channel Island u7 </t>
  </si>
  <si>
    <t xml:space="preserve">Channel Island u8-9 </t>
  </si>
  <si>
    <t xml:space="preserve">Katherine </t>
  </si>
  <si>
    <t xml:space="preserve">LMS Shoal Bay </t>
  </si>
  <si>
    <t xml:space="preserve">Pine Creek CCGT </t>
  </si>
  <si>
    <t xml:space="preserve">Weddell </t>
  </si>
  <si>
    <t>(Source: ACIL ALLEN CONSULTING 2013, Tables 1&amp;2)</t>
  </si>
  <si>
    <t>Comment</t>
  </si>
  <si>
    <t>No change</t>
  </si>
  <si>
    <t>No Change</t>
  </si>
  <si>
    <t>Temperate emission factor (EFT)</t>
  </si>
  <si>
    <t>Amended</t>
  </si>
  <si>
    <t>Amended (EFT)</t>
  </si>
  <si>
    <t>Appendix 5.D.7</t>
  </si>
  <si>
    <t>Maiden Ewes</t>
  </si>
  <si>
    <t>Breeding Ewes</t>
  </si>
  <si>
    <t>Other Ewes</t>
  </si>
  <si>
    <t>Lambs and Hoggets</t>
  </si>
  <si>
    <t>Non-Irrigated</t>
  </si>
  <si>
    <t>Sewage Sludge applied to Crops TM</t>
  </si>
  <si>
    <t>Sewage Sludge applied to Pastures TM</t>
  </si>
  <si>
    <t>FN</t>
  </si>
  <si>
    <t>4D1_2</t>
  </si>
  <si>
    <t>3DA_2</t>
  </si>
  <si>
    <t>Synthetic Fertiliser</t>
  </si>
  <si>
    <t>Fraction</t>
  </si>
  <si>
    <t>Cg</t>
  </si>
  <si>
    <t>3DA_5</t>
  </si>
  <si>
    <t xml:space="preserve">Total seasonal faecal (AF) nitrogen excreted </t>
  </si>
  <si>
    <t>Total seasonal urinary (AU) nitrogen excreted</t>
  </si>
  <si>
    <t>3DA_6</t>
  </si>
  <si>
    <t>New</t>
  </si>
  <si>
    <t>Atmospheric nitrogen deposition Inorganic Fertiliser</t>
  </si>
  <si>
    <t>3DB_1</t>
  </si>
  <si>
    <t>Data input</t>
  </si>
  <si>
    <t>Atmospheric nitrogen deposition Sewage Sludge</t>
  </si>
  <si>
    <t>3DB_3</t>
  </si>
  <si>
    <t>3DB_4</t>
  </si>
  <si>
    <t>3DB_5</t>
  </si>
  <si>
    <t>The mass of sewage N applied to soils that is lost through leaching and runoff (M)</t>
  </si>
  <si>
    <t>3DB_7</t>
  </si>
  <si>
    <t>3DB_10</t>
  </si>
  <si>
    <t>Sewage Sludge applied to Crops</t>
  </si>
  <si>
    <t>Sewage Sludge apllied to Pastures</t>
  </si>
  <si>
    <t>Limestone applied to soils</t>
  </si>
  <si>
    <t>Total for farm</t>
  </si>
  <si>
    <t>t</t>
  </si>
  <si>
    <t>Energy</t>
  </si>
  <si>
    <t>Annual Gas Consumption</t>
  </si>
  <si>
    <t>Transport</t>
  </si>
  <si>
    <t>kms</t>
  </si>
  <si>
    <t xml:space="preserve">Type of Truck used </t>
  </si>
  <si>
    <t>Trailer</t>
  </si>
  <si>
    <t>Liming</t>
  </si>
  <si>
    <t>Value</t>
  </si>
  <si>
    <t>Revised Reference</t>
  </si>
  <si>
    <t>Mass of limestone applied to soils (t)</t>
  </si>
  <si>
    <t>Fraction of Limestone</t>
  </si>
  <si>
    <t>Fraction Purity of limestone</t>
  </si>
  <si>
    <t>Fractional Purity of Dolomite</t>
  </si>
  <si>
    <t>EF for Limestone</t>
  </si>
  <si>
    <t>EF for Dolomite</t>
  </si>
  <si>
    <t>E = ((M x FracLime x P X EF) + (M x (1-FracLime) x P x EF)) x Cg/1000</t>
  </si>
  <si>
    <t>3G_1</t>
  </si>
  <si>
    <t>CO2 emissions from Lime</t>
  </si>
  <si>
    <t>Kilometres Transported</t>
  </si>
  <si>
    <t>Type of Vehicle</t>
  </si>
  <si>
    <t>4 Deck Trailer</t>
  </si>
  <si>
    <t>6 Deck Trailer</t>
  </si>
  <si>
    <t>B-Double</t>
  </si>
  <si>
    <t>Vehicle Reference</t>
  </si>
  <si>
    <t>Fuel Usage</t>
  </si>
  <si>
    <t>l/km</t>
  </si>
  <si>
    <t>Fuel Usage Reference</t>
  </si>
  <si>
    <t>Diesel fuel</t>
  </si>
  <si>
    <t>Quantity</t>
  </si>
  <si>
    <t>kL</t>
  </si>
  <si>
    <t>Energy Content Factor</t>
  </si>
  <si>
    <t>CO2 Emissions Factor</t>
  </si>
  <si>
    <t>Department of the Environment 2015</t>
  </si>
  <si>
    <t>CH4 Emissions Factor</t>
  </si>
  <si>
    <t>N2O Emissions Factor</t>
  </si>
  <si>
    <t>E = (Q x EC x EF)*10^-3</t>
  </si>
  <si>
    <t>2.1.3</t>
  </si>
  <si>
    <t>E = Emissions of gas type from fuel type</t>
  </si>
  <si>
    <t>Q =  Quantity of fuel type combusted for transport</t>
  </si>
  <si>
    <t>EC = Energy content factor of fuel type</t>
  </si>
  <si>
    <t>EF = Emission factor for each gas type</t>
  </si>
  <si>
    <t>CO2 Emissions from Diesel</t>
  </si>
  <si>
    <t>t CO2 e</t>
  </si>
  <si>
    <t>CH4 Emissions from Diesel</t>
  </si>
  <si>
    <t>N2O Emissions from Diesel</t>
  </si>
  <si>
    <t>CO2-e</t>
  </si>
  <si>
    <t>CO2</t>
  </si>
  <si>
    <t>CH4</t>
  </si>
  <si>
    <t>N2O</t>
  </si>
  <si>
    <t>CF4</t>
  </si>
  <si>
    <t>C2F6</t>
  </si>
  <si>
    <t>SF6</t>
  </si>
  <si>
    <t>NF3</t>
  </si>
  <si>
    <t>Conversion Factor</t>
  </si>
  <si>
    <t>Nox</t>
  </si>
  <si>
    <t>CO</t>
  </si>
  <si>
    <t>CO2 Lime</t>
  </si>
  <si>
    <t>NMVOC</t>
  </si>
  <si>
    <t>Choose your region in Australia</t>
  </si>
  <si>
    <t>Is your property in orange zone? (Ref Map. 1)</t>
  </si>
  <si>
    <t>-</t>
  </si>
  <si>
    <t>New equation</t>
  </si>
  <si>
    <t>t/farm</t>
  </si>
  <si>
    <t>Sewage Sludge Crops</t>
  </si>
  <si>
    <t>Sewage Sludge Pastures</t>
  </si>
  <si>
    <r>
      <t>t CO</t>
    </r>
    <r>
      <rPr>
        <b/>
        <vertAlign val="subscript"/>
        <sz val="11"/>
        <rFont val="Times New Roman"/>
        <family val="1"/>
      </rPr>
      <t>2</t>
    </r>
    <r>
      <rPr>
        <b/>
        <sz val="11"/>
        <rFont val="Times New Roman"/>
        <family val="1"/>
      </rPr>
      <t>e/farm</t>
    </r>
  </si>
  <si>
    <r>
      <t>CH</t>
    </r>
    <r>
      <rPr>
        <vertAlign val="subscript"/>
        <sz val="11"/>
        <rFont val="Times New Roman"/>
        <family val="1"/>
      </rPr>
      <t>4</t>
    </r>
    <r>
      <rPr>
        <sz val="11"/>
        <rFont val="Times New Roman"/>
        <family val="1"/>
      </rPr>
      <t xml:space="preserve"> - Energy</t>
    </r>
  </si>
  <si>
    <r>
      <t>N</t>
    </r>
    <r>
      <rPr>
        <vertAlign val="subscript"/>
        <sz val="11"/>
        <rFont val="Times New Roman"/>
        <family val="1"/>
      </rPr>
      <t>2</t>
    </r>
    <r>
      <rPr>
        <sz val="11"/>
        <rFont val="Times New Roman"/>
        <family val="1"/>
      </rPr>
      <t>O - Fertiliser</t>
    </r>
  </si>
  <si>
    <r>
      <t>N</t>
    </r>
    <r>
      <rPr>
        <vertAlign val="subscript"/>
        <sz val="11"/>
        <rFont val="Times New Roman"/>
        <family val="1"/>
      </rPr>
      <t>2</t>
    </r>
    <r>
      <rPr>
        <sz val="11"/>
        <rFont val="Times New Roman"/>
        <family val="1"/>
      </rPr>
      <t>O - Atmospheric deposition</t>
    </r>
  </si>
  <si>
    <r>
      <t>N</t>
    </r>
    <r>
      <rPr>
        <vertAlign val="subscript"/>
        <sz val="11"/>
        <rFont val="Times New Roman"/>
        <family val="1"/>
      </rPr>
      <t>2</t>
    </r>
    <r>
      <rPr>
        <sz val="11"/>
        <rFont val="Times New Roman"/>
        <family val="1"/>
      </rPr>
      <t>O - Leaching and Runoff</t>
    </r>
  </si>
  <si>
    <r>
      <t>N</t>
    </r>
    <r>
      <rPr>
        <vertAlign val="subscript"/>
        <sz val="11"/>
        <rFont val="Times New Roman"/>
        <family val="1"/>
      </rPr>
      <t>2</t>
    </r>
    <r>
      <rPr>
        <sz val="11"/>
        <rFont val="Times New Roman"/>
        <family val="1"/>
      </rPr>
      <t>O - Energy</t>
    </r>
  </si>
  <si>
    <t>Annual Natural Gas Consumption</t>
  </si>
  <si>
    <t>Annual electricity use</t>
  </si>
  <si>
    <t>KWh/year</t>
  </si>
  <si>
    <t>Nitrous oxide emissions from Urea Application</t>
  </si>
  <si>
    <t>Total mass of fertiliser TM</t>
  </si>
  <si>
    <t>t Urea</t>
  </si>
  <si>
    <t>M = (M x EF x C)/1000</t>
  </si>
  <si>
    <t>3H_1</t>
  </si>
  <si>
    <t>TM = Mass of Urea applied to soils</t>
  </si>
  <si>
    <t>EF =</t>
  </si>
  <si>
    <t>C =</t>
  </si>
  <si>
    <t>Gg CO2e</t>
  </si>
  <si>
    <t>Urea Fertiliser Crops</t>
  </si>
  <si>
    <t>Urea Fertiliser Pasture</t>
  </si>
  <si>
    <t>Fertiliser application Crops</t>
  </si>
  <si>
    <t>Fertiliser application Pasture</t>
  </si>
  <si>
    <t>kg/ha</t>
  </si>
  <si>
    <r>
      <t>N</t>
    </r>
    <r>
      <rPr>
        <vertAlign val="subscript"/>
        <sz val="11"/>
        <rFont val="Times New Roman"/>
        <family val="1"/>
      </rPr>
      <t>2</t>
    </r>
    <r>
      <rPr>
        <sz val="11"/>
        <rFont val="Times New Roman"/>
        <family val="1"/>
      </rPr>
      <t>O - Urine and Dung</t>
    </r>
  </si>
  <si>
    <r>
      <t>N</t>
    </r>
    <r>
      <rPr>
        <vertAlign val="subscript"/>
        <sz val="11"/>
        <rFont val="Times New Roman"/>
        <family val="1"/>
      </rPr>
      <t>2</t>
    </r>
    <r>
      <rPr>
        <sz val="11"/>
        <rFont val="Times New Roman"/>
        <family val="1"/>
      </rPr>
      <t>O - Transport</t>
    </r>
  </si>
  <si>
    <r>
      <t>CH</t>
    </r>
    <r>
      <rPr>
        <vertAlign val="subscript"/>
        <sz val="11"/>
        <rFont val="Times New Roman"/>
        <family val="1"/>
      </rPr>
      <t>4</t>
    </r>
    <r>
      <rPr>
        <sz val="11"/>
        <rFont val="Times New Roman"/>
        <family val="1"/>
      </rPr>
      <t xml:space="preserve"> - Enteric </t>
    </r>
  </si>
  <si>
    <r>
      <t>CO</t>
    </r>
    <r>
      <rPr>
        <vertAlign val="subscript"/>
        <sz val="11"/>
        <rFont val="Times New Roman"/>
        <family val="1"/>
      </rPr>
      <t>2</t>
    </r>
    <r>
      <rPr>
        <sz val="11"/>
        <rFont val="Times New Roman"/>
        <family val="1"/>
      </rPr>
      <t xml:space="preserve"> - Urea Application</t>
    </r>
  </si>
  <si>
    <r>
      <t>CO</t>
    </r>
    <r>
      <rPr>
        <vertAlign val="subscript"/>
        <sz val="11"/>
        <rFont val="Times New Roman"/>
        <family val="1"/>
      </rPr>
      <t>2</t>
    </r>
    <r>
      <rPr>
        <sz val="11"/>
        <rFont val="Times New Roman"/>
        <family val="1"/>
      </rPr>
      <t xml:space="preserve"> - Lime</t>
    </r>
  </si>
  <si>
    <r>
      <t>CO</t>
    </r>
    <r>
      <rPr>
        <vertAlign val="subscript"/>
        <sz val="11"/>
        <rFont val="Times New Roman"/>
        <family val="1"/>
      </rPr>
      <t>2</t>
    </r>
    <r>
      <rPr>
        <sz val="11"/>
        <rFont val="Times New Roman"/>
        <family val="1"/>
      </rPr>
      <t xml:space="preserve"> - Energy</t>
    </r>
  </si>
  <si>
    <t>Map 1. The ratio of mean annual evapotranspiration to annual precipitation (Et/P)</t>
  </si>
  <si>
    <t>Property in orange zone</t>
  </si>
  <si>
    <t>Yes</t>
  </si>
  <si>
    <t>No</t>
  </si>
  <si>
    <t>FractWet Input</t>
  </si>
  <si>
    <t>FracWet Multiplier</t>
  </si>
  <si>
    <r>
      <t>CO</t>
    </r>
    <r>
      <rPr>
        <vertAlign val="subscript"/>
        <sz val="11"/>
        <rFont val="Times New Roman"/>
        <family val="1"/>
      </rPr>
      <t>2</t>
    </r>
    <r>
      <rPr>
        <sz val="11"/>
        <rFont val="Times New Roman"/>
        <family val="1"/>
      </rPr>
      <t xml:space="preserve"> - Transport</t>
    </r>
  </si>
  <si>
    <t>M = TM x FracWET x FracLEACH</t>
  </si>
  <si>
    <t>Appendix 6.J.1</t>
  </si>
  <si>
    <t>Appendix 5.J.1</t>
  </si>
  <si>
    <t>Gg N/Gg Applied</t>
  </si>
  <si>
    <t>4D3_7</t>
  </si>
  <si>
    <t>Sewage Sludge</t>
  </si>
  <si>
    <r>
      <t>CH</t>
    </r>
    <r>
      <rPr>
        <vertAlign val="subscript"/>
        <sz val="11"/>
        <rFont val="Times New Roman"/>
        <family val="1"/>
      </rPr>
      <t>4</t>
    </r>
    <r>
      <rPr>
        <sz val="11"/>
        <rFont val="Times New Roman"/>
        <family val="1"/>
      </rPr>
      <t xml:space="preserve"> - Manure</t>
    </r>
  </si>
  <si>
    <t>Global Warming Potential and Conversion Factors</t>
  </si>
  <si>
    <t>insert 0.8 in spring</t>
  </si>
  <si>
    <t>Distance sheep transported to farm</t>
  </si>
  <si>
    <t>Joe Bloggs</t>
  </si>
  <si>
    <t>Total N2O Leaching and Runoff</t>
  </si>
  <si>
    <t>N dung and urine</t>
  </si>
  <si>
    <t>N Dung and Urine</t>
  </si>
  <si>
    <t>The mass of dung and urine N applied to soils that is lost through leaching and runoff (M)</t>
  </si>
  <si>
    <t>Total N2O Atmospheric Deposition</t>
  </si>
  <si>
    <t>N Fertiliser dung and urine</t>
  </si>
  <si>
    <t>Sewage Sludge Pasture</t>
  </si>
  <si>
    <t>Annual N2O production from atmospheric deposition (indirect ammonia)</t>
  </si>
  <si>
    <t>FracGASM</t>
  </si>
  <si>
    <t>M = (MNSoil + UNSoil + FNSoil) x FracGASM</t>
  </si>
  <si>
    <t>Atmospheric nitrogen deposition Urine and Dung</t>
  </si>
  <si>
    <t>M = TM x FracGASS</t>
  </si>
  <si>
    <t>Total N2O Urine and Dung Deposited during Grazing</t>
  </si>
  <si>
    <t>Nitrous oxide calculation</t>
  </si>
  <si>
    <t>E = (AF x EF x Cg) + (AU x EF x Cg)</t>
  </si>
  <si>
    <t>Urine and Dung Deposited during Grazing</t>
  </si>
  <si>
    <t>Total from N2O emissions from synthetic fertiliser</t>
  </si>
  <si>
    <t>Sewage Sludge crops</t>
  </si>
  <si>
    <t>Annual N2O emissions from the addition of Sewage Sludge (E)</t>
  </si>
  <si>
    <t>Annual N2O emissions from the addition of synthetic fertiliser (E)</t>
  </si>
  <si>
    <t>N sewage sludge pastures</t>
  </si>
  <si>
    <t>N sewage sludge crops</t>
  </si>
  <si>
    <t>Appendix 6.H.1</t>
  </si>
  <si>
    <t>Mass of sewage sludge appplied (M)</t>
  </si>
  <si>
    <t>N2O emissions from sewage sludge</t>
  </si>
  <si>
    <t>Ha</t>
  </si>
  <si>
    <t>Leaching and runoff</t>
  </si>
  <si>
    <t>Atmospheric N deposition sewage sludge</t>
  </si>
  <si>
    <t>Urine and dung deposited during grazing</t>
  </si>
  <si>
    <t>Atmospheric N deposition inorganic fertiliser</t>
  </si>
  <si>
    <t>Sewage sludge</t>
  </si>
  <si>
    <t>Factor 
(Gg N/Gg)</t>
  </si>
  <si>
    <t>FracGASF conversion factors</t>
  </si>
  <si>
    <t>Emission factor (EF) (Gg N2O-N/GgN)</t>
  </si>
  <si>
    <t>Annual N2O emission production</t>
  </si>
  <si>
    <t>Global Warming Potential (GWP)</t>
  </si>
  <si>
    <t>Factor to convert elemental mass to molecular mass (N2O-N to N2O) (Cg)</t>
  </si>
  <si>
    <t>Table 5.23</t>
  </si>
  <si>
    <t>Factor</t>
  </si>
  <si>
    <t>Conversion</t>
  </si>
  <si>
    <t>Emission factors and Conversion factors used on this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</si>
</sst>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00"/>
    <numFmt numFmtId="165" formatCode="&quot; &quot;#,##0.00&quot; &quot;;&quot;-&quot;#,##0.00&quot; &quot;;&quot; -&quot;00&quot; &quot;;&quot; &quot;@&quot; &quot;"/>
    <numFmt numFmtId="166" formatCode="0.0"/>
    <numFmt numFmtId="167" formatCode="0.00000"/>
    <numFmt numFmtId="168" formatCode="0.000000"/>
    <numFmt numFmtId="169" formatCode="&quot; &quot;#,##0.00000000&quot; &quot;;&quot;-&quot;#,##0.00000000&quot; &quot;;&quot; -&quot;00&quot; &quot;;&quot; &quot;@&quot; &quot;"/>
    <numFmt numFmtId="170" formatCode="&quot; &quot;#,##0.0000&quot; &quot;;&quot;-&quot;#,##0.0000&quot; &quot;;&quot; -&quot;00&quot; &quot;;&quot; &quot;@&quot; &quot;"/>
    <numFmt numFmtId="171" formatCode="&quot; &quot;#,##0.00000000&quot; &quot;;&quot;-&quot;#,##0.00000000&quot; &quot;;&quot; -&quot;00000000&quot; &quot;;&quot; &quot;@&quot; &quot;"/>
    <numFmt numFmtId="172" formatCode="0.0000"/>
    <numFmt numFmtId="173" formatCode="0.0000000"/>
    <numFmt numFmtId="174" formatCode="&quot; &quot;#,##0&quot; &quot;;&quot;-&quot;#,##0&quot; &quot;;&quot; -&quot;00&quot; &quot;;&quot; &quot;@&quot; &quot;"/>
    <numFmt numFmtId="175" formatCode="0.00000000"/>
    <numFmt numFmtId="176" formatCode="#,##0.0000"/>
    <numFmt numFmtId="177" formatCode="0.0E+00;\_x0000_"/>
  </numFmts>
  <fonts count="37">
    <font>
      <sz val="10"/>
      <color rgb="FF000000"/>
      <name val="Arial"/>
      <family val="2"/>
    </font>
    <font>
      <sz val="11"/>
      <color indexed="8"/>
      <name val="Times New Roman"/>
      <family val="1"/>
    </font>
    <font>
      <vertAlign val="subscript"/>
      <sz val="11"/>
      <color indexed="8"/>
      <name val="Times New Roman"/>
      <family val="1"/>
    </font>
    <font>
      <sz val="8"/>
      <color indexed="8"/>
      <name val="Tahoma"/>
      <family val="2"/>
    </font>
    <font>
      <b/>
      <sz val="8"/>
      <color indexed="8"/>
      <name val="Tahoma"/>
      <family val="2"/>
    </font>
    <font>
      <sz val="8"/>
      <color indexed="81"/>
      <name val="Tahoma"/>
      <family val="2"/>
    </font>
    <font>
      <sz val="12"/>
      <name val="Times New Roman"/>
      <family val="1"/>
    </font>
    <font>
      <sz val="11"/>
      <name val="Times New Roman"/>
      <family val="1"/>
    </font>
    <font>
      <sz val="10"/>
      <color rgb="FF000000"/>
      <name val="Arial"/>
      <family val="2"/>
    </font>
    <font>
      <sz val="12"/>
      <color rgb="FF000000"/>
      <name val="Times New Roman"/>
      <family val="1"/>
    </font>
    <font>
      <b/>
      <sz val="14"/>
      <color rgb="FF000000"/>
      <name val="Times New Roman"/>
      <family val="1"/>
    </font>
    <font>
      <sz val="11"/>
      <color rgb="FF000000"/>
      <name val="Times New Roman"/>
      <family val="1"/>
    </font>
    <font>
      <b/>
      <sz val="11"/>
      <color rgb="FF000000"/>
      <name val="Times New Roman"/>
      <family val="1"/>
    </font>
    <font>
      <b/>
      <sz val="12"/>
      <color rgb="FF000000"/>
      <name val="Times New Roman"/>
      <family val="1"/>
    </font>
    <font>
      <i/>
      <sz val="12"/>
      <color rgb="FF000000"/>
      <name val="Times New Roman"/>
      <family val="1"/>
    </font>
    <font>
      <i/>
      <sz val="12"/>
      <color rgb="FFFF0000"/>
      <name val="Times New Roman"/>
      <family val="1"/>
    </font>
    <font>
      <i/>
      <sz val="11"/>
      <color rgb="FFFF0000"/>
      <name val="Times New Roman"/>
      <family val="1"/>
    </font>
    <font>
      <sz val="10"/>
      <color rgb="FF000000"/>
      <name val="Thorndale Duospace WT TC"/>
      <family val="3"/>
    </font>
    <font>
      <u/>
      <sz val="10"/>
      <color theme="11"/>
      <name val="Arial"/>
      <family val="2"/>
    </font>
    <font>
      <b/>
      <sz val="14"/>
      <name val="Times New Roman"/>
      <family val="1"/>
    </font>
    <font>
      <b/>
      <sz val="12"/>
      <name val="Times New Roman"/>
      <family val="1"/>
    </font>
    <font>
      <sz val="12"/>
      <name val="Times"/>
    </font>
    <font>
      <b/>
      <sz val="12"/>
      <color theme="1"/>
      <name val="Times"/>
    </font>
    <font>
      <b/>
      <sz val="12"/>
      <name val="Times"/>
    </font>
    <font>
      <sz val="10"/>
      <name val="Times New Roman"/>
      <family val="1"/>
    </font>
    <font>
      <b/>
      <sz val="18"/>
      <name val="Times New Roman"/>
    </font>
    <font>
      <u/>
      <sz val="10"/>
      <color theme="10"/>
      <name val="Arial"/>
      <family val="2"/>
    </font>
    <font>
      <b/>
      <sz val="10"/>
      <name val="Arial"/>
    </font>
    <font>
      <b/>
      <sz val="12"/>
      <color indexed="10"/>
      <name val="Times New Roman"/>
      <family val="1"/>
    </font>
    <font>
      <sz val="10"/>
      <name val="Arial"/>
      <family val="2"/>
    </font>
    <font>
      <b/>
      <sz val="11"/>
      <name val="Times New Roman"/>
      <family val="1"/>
    </font>
    <font>
      <b/>
      <vertAlign val="subscript"/>
      <sz val="11"/>
      <name val="Times New Roman"/>
      <family val="1"/>
    </font>
    <font>
      <vertAlign val="subscript"/>
      <sz val="11"/>
      <name val="Times New Roman"/>
      <family val="1"/>
    </font>
    <font>
      <sz val="10"/>
      <name val="Arial"/>
    </font>
    <font>
      <i/>
      <sz val="12"/>
      <name val="Times New Roman"/>
      <family val="1"/>
    </font>
    <font>
      <sz val="12"/>
      <color rgb="FFFF0000"/>
      <name val="Times New Roman"/>
      <family val="1"/>
    </font>
    <font>
      <b/>
      <sz val="13"/>
      <name val="Times New Roman"/>
      <family val="1"/>
    </font>
  </fonts>
  <fills count="32">
    <fill>
      <patternFill patternType="none"/>
    </fill>
    <fill>
      <patternFill patternType="gray125"/>
    </fill>
    <fill>
      <patternFill patternType="solid">
        <fgColor rgb="FFCCC0DA"/>
        <bgColor rgb="FFCCC0DA"/>
      </patternFill>
    </fill>
    <fill>
      <patternFill patternType="solid">
        <fgColor rgb="FFB8CCE4"/>
        <bgColor rgb="FFB8CCE4"/>
      </patternFill>
    </fill>
    <fill>
      <patternFill patternType="solid">
        <fgColor rgb="FF8DB4E3"/>
        <bgColor rgb="FF8DB4E3"/>
      </patternFill>
    </fill>
    <fill>
      <patternFill patternType="solid">
        <fgColor rgb="FFD7E4BC"/>
        <bgColor rgb="FFD7E4BC"/>
      </patternFill>
    </fill>
    <fill>
      <patternFill patternType="solid">
        <fgColor rgb="FFC2D69A"/>
        <bgColor rgb="FFC2D69A"/>
      </patternFill>
    </fill>
    <fill>
      <patternFill patternType="solid">
        <fgColor rgb="FFF2DDDC"/>
        <bgColor rgb="FFF2DDDC"/>
      </patternFill>
    </fill>
    <fill>
      <patternFill patternType="solid">
        <fgColor rgb="FFE6B9B8"/>
        <bgColor rgb="FFE6B9B8"/>
      </patternFill>
    </fill>
    <fill>
      <patternFill patternType="solid">
        <fgColor theme="4" tint="0.59999389629810485"/>
        <bgColor rgb="FFB8CCE4"/>
      </patternFill>
    </fill>
    <fill>
      <patternFill patternType="solid">
        <fgColor theme="7" tint="0.59999389629810485"/>
        <bgColor indexed="64"/>
      </patternFill>
    </fill>
    <fill>
      <patternFill patternType="solid">
        <fgColor theme="7" tint="0.59999389629810485"/>
        <bgColor rgb="FFCCC0DA"/>
      </patternFill>
    </fill>
    <fill>
      <patternFill patternType="solid">
        <fgColor theme="5" tint="0.79998168889431442"/>
        <bgColor indexed="64"/>
      </patternFill>
    </fill>
    <fill>
      <patternFill patternType="solid">
        <fgColor theme="5" tint="0.79998168889431442"/>
        <bgColor rgb="FFF2DDDC"/>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CD5B4"/>
        <bgColor rgb="FF000000"/>
      </patternFill>
    </fill>
    <fill>
      <patternFill patternType="solid">
        <fgColor rgb="FFFDE9D9"/>
        <bgColor rgb="FF000000"/>
      </patternFill>
    </fill>
    <fill>
      <patternFill patternType="solid">
        <fgColor rgb="FFFFFF00"/>
        <bgColor indexed="64"/>
      </patternFill>
    </fill>
    <fill>
      <patternFill patternType="solid">
        <fgColor rgb="FFCCC0DA"/>
        <bgColor rgb="FF000000"/>
      </patternFill>
    </fill>
    <fill>
      <patternFill patternType="solid">
        <fgColor rgb="FFFFFFFF"/>
        <bgColor rgb="FF000000"/>
      </patternFill>
    </fill>
    <fill>
      <patternFill patternType="solid">
        <fgColor theme="6" tint="0.79998168889431442"/>
        <bgColor indexed="64"/>
      </patternFill>
    </fill>
    <fill>
      <patternFill patternType="solid">
        <fgColor theme="0"/>
        <bgColor rgb="FFCCC0DA"/>
      </patternFill>
    </fill>
    <fill>
      <patternFill patternType="solid">
        <fgColor theme="6" tint="0.79998168889431442"/>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CC"/>
        <bgColor indexed="64"/>
      </patternFill>
    </fill>
    <fill>
      <patternFill patternType="solid">
        <fgColor rgb="FFFAFDD1"/>
        <bgColor indexed="64"/>
      </patternFill>
    </fill>
  </fills>
  <borders count="3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243">
    <xf numFmtId="0" fontId="0" fillId="0" borderId="0"/>
    <xf numFmtId="165" fontId="8" fillId="0" borderId="0" applyFont="0" applyFill="0" applyBorder="0" applyAlignment="0" applyProtection="0"/>
    <xf numFmtId="0" fontId="8" fillId="0" borderId="0" applyNumberFormat="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33" fillId="0" borderId="0"/>
  </cellStyleXfs>
  <cellXfs count="589">
    <xf numFmtId="0" fontId="0" fillId="0" borderId="0" xfId="0"/>
    <xf numFmtId="0" fontId="11" fillId="0" borderId="0" xfId="0" applyFont="1" applyFill="1"/>
    <xf numFmtId="0" fontId="10" fillId="0" borderId="0" xfId="0" applyFont="1" applyFill="1" applyAlignment="1"/>
    <xf numFmtId="0" fontId="11" fillId="0" borderId="0" xfId="0" applyFont="1" applyFill="1" applyAlignment="1"/>
    <xf numFmtId="0" fontId="12" fillId="2" borderId="13" xfId="0" applyFont="1" applyFill="1" applyBorder="1"/>
    <xf numFmtId="0" fontId="11" fillId="0" borderId="0" xfId="0" applyFont="1" applyFill="1" applyProtection="1"/>
    <xf numFmtId="2" fontId="11" fillId="0" borderId="0" xfId="0" applyNumberFormat="1" applyFont="1" applyFill="1" applyAlignment="1" applyProtection="1">
      <alignment horizontal="right" vertical="top" wrapText="1"/>
    </xf>
    <xf numFmtId="165" fontId="11" fillId="0" borderId="0" xfId="0" applyNumberFormat="1" applyFont="1" applyFill="1"/>
    <xf numFmtId="0" fontId="9" fillId="0" borderId="0" xfId="0" applyFont="1" applyFill="1"/>
    <xf numFmtId="0" fontId="10" fillId="0" borderId="0" xfId="0" applyFont="1" applyFill="1"/>
    <xf numFmtId="0" fontId="9" fillId="0" borderId="0" xfId="0" applyFont="1" applyFill="1" applyAlignment="1">
      <alignment wrapText="1"/>
    </xf>
    <xf numFmtId="0" fontId="9" fillId="2" borderId="15" xfId="0" applyFont="1" applyFill="1" applyBorder="1" applyAlignment="1">
      <alignment wrapText="1"/>
    </xf>
    <xf numFmtId="0" fontId="9" fillId="2" borderId="16" xfId="0" applyFont="1" applyFill="1" applyBorder="1" applyAlignment="1">
      <alignment wrapText="1"/>
    </xf>
    <xf numFmtId="0" fontId="13" fillId="2" borderId="16" xfId="0" applyFont="1" applyFill="1" applyBorder="1" applyAlignment="1">
      <alignment wrapText="1"/>
    </xf>
    <xf numFmtId="0" fontId="13" fillId="2" borderId="16" xfId="0" applyFont="1" applyFill="1" applyBorder="1" applyAlignment="1">
      <alignment vertical="top"/>
    </xf>
    <xf numFmtId="0" fontId="13" fillId="2" borderId="16" xfId="0" applyFont="1" applyFill="1" applyBorder="1" applyAlignment="1"/>
    <xf numFmtId="0" fontId="9" fillId="2" borderId="12" xfId="0" applyFont="1" applyFill="1" applyBorder="1" applyAlignment="1">
      <alignment horizontal="right" wrapText="1"/>
    </xf>
    <xf numFmtId="0" fontId="13" fillId="2" borderId="17" xfId="0" applyFont="1" applyFill="1" applyBorder="1"/>
    <xf numFmtId="0" fontId="9" fillId="2" borderId="0" xfId="0" applyFont="1" applyFill="1"/>
    <xf numFmtId="0" fontId="9" fillId="0" borderId="0" xfId="0" applyFont="1" applyFill="1" applyProtection="1">
      <protection locked="0"/>
    </xf>
    <xf numFmtId="0" fontId="9" fillId="2" borderId="18" xfId="0" applyFont="1" applyFill="1" applyBorder="1" applyAlignment="1">
      <alignment horizontal="right"/>
    </xf>
    <xf numFmtId="0" fontId="9" fillId="2" borderId="17" xfId="0" applyFont="1" applyFill="1" applyBorder="1"/>
    <xf numFmtId="0" fontId="9" fillId="2" borderId="19" xfId="0" applyFont="1" applyFill="1" applyBorder="1"/>
    <xf numFmtId="0" fontId="9" fillId="2" borderId="20" xfId="0" applyFont="1" applyFill="1" applyBorder="1"/>
    <xf numFmtId="0" fontId="9" fillId="2" borderId="20" xfId="0" applyFont="1" applyFill="1" applyBorder="1" applyProtection="1"/>
    <xf numFmtId="0" fontId="9" fillId="2" borderId="14" xfId="0" applyFont="1" applyFill="1" applyBorder="1" applyAlignment="1">
      <alignment horizontal="right"/>
    </xf>
    <xf numFmtId="0" fontId="9" fillId="2" borderId="0" xfId="0" applyFont="1" applyFill="1" applyAlignment="1">
      <alignment horizontal="right"/>
    </xf>
    <xf numFmtId="0" fontId="13" fillId="2" borderId="15" xfId="0" applyFont="1" applyFill="1" applyBorder="1"/>
    <xf numFmtId="0" fontId="9" fillId="2" borderId="16" xfId="0" applyFont="1" applyFill="1" applyBorder="1"/>
    <xf numFmtId="0" fontId="9" fillId="0" borderId="16" xfId="0" applyFont="1" applyFill="1" applyBorder="1" applyProtection="1">
      <protection locked="0"/>
    </xf>
    <xf numFmtId="0" fontId="9" fillId="2" borderId="12" xfId="0" applyFont="1" applyFill="1" applyBorder="1" applyAlignment="1">
      <alignment horizontal="right"/>
    </xf>
    <xf numFmtId="2" fontId="9" fillId="0" borderId="16" xfId="0" applyNumberFormat="1" applyFont="1" applyFill="1" applyBorder="1" applyProtection="1">
      <protection locked="0"/>
    </xf>
    <xf numFmtId="2" fontId="9" fillId="0" borderId="0" xfId="0" applyNumberFormat="1" applyFont="1" applyFill="1" applyProtection="1">
      <protection locked="0"/>
    </xf>
    <xf numFmtId="2" fontId="9" fillId="2" borderId="20" xfId="0" applyNumberFormat="1" applyFont="1" applyFill="1" applyBorder="1" applyProtection="1">
      <protection locked="0"/>
    </xf>
    <xf numFmtId="166" fontId="9" fillId="2" borderId="20" xfId="0" applyNumberFormat="1" applyFont="1" applyFill="1" applyBorder="1" applyProtection="1">
      <protection locked="0"/>
    </xf>
    <xf numFmtId="0" fontId="14" fillId="2" borderId="17" xfId="0" applyFont="1" applyFill="1" applyBorder="1"/>
    <xf numFmtId="0" fontId="9" fillId="2" borderId="20" xfId="0" applyFont="1" applyFill="1" applyBorder="1" applyProtection="1">
      <protection locked="0"/>
    </xf>
    <xf numFmtId="0" fontId="9" fillId="2" borderId="0" xfId="0" applyFont="1" applyFill="1" applyProtection="1">
      <protection locked="0"/>
    </xf>
    <xf numFmtId="166" fontId="9" fillId="0" borderId="0" xfId="0" applyNumberFormat="1" applyFont="1" applyAlignment="1">
      <alignment vertical="top" wrapText="1"/>
    </xf>
    <xf numFmtId="0" fontId="13" fillId="2" borderId="13" xfId="0" applyFont="1" applyFill="1" applyBorder="1"/>
    <xf numFmtId="0" fontId="9" fillId="2" borderId="21" xfId="0" applyFont="1" applyFill="1" applyBorder="1"/>
    <xf numFmtId="0" fontId="9" fillId="0" borderId="21" xfId="0" applyFont="1" applyFill="1" applyBorder="1" applyProtection="1">
      <protection locked="0"/>
    </xf>
    <xf numFmtId="0" fontId="9" fillId="2" borderId="22" xfId="0" applyFont="1" applyFill="1" applyBorder="1"/>
    <xf numFmtId="0" fontId="15" fillId="2" borderId="0" xfId="0" applyFont="1" applyFill="1"/>
    <xf numFmtId="0" fontId="11" fillId="0" borderId="0" xfId="0" applyFont="1" applyFill="1" applyProtection="1">
      <protection locked="0"/>
    </xf>
    <xf numFmtId="0" fontId="9" fillId="0" borderId="0" xfId="0" applyFont="1"/>
    <xf numFmtId="0" fontId="9" fillId="0" borderId="0" xfId="0" applyFont="1" applyAlignment="1">
      <alignment vertical="top" wrapText="1"/>
    </xf>
    <xf numFmtId="166" fontId="9" fillId="0" borderId="0" xfId="0" applyNumberFormat="1" applyFont="1"/>
    <xf numFmtId="164" fontId="9" fillId="0" borderId="0" xfId="0" applyNumberFormat="1" applyFont="1" applyAlignment="1">
      <alignment vertical="top" wrapText="1"/>
    </xf>
    <xf numFmtId="0" fontId="10" fillId="0" borderId="0" xfId="0" applyFont="1"/>
    <xf numFmtId="0" fontId="9" fillId="0" borderId="0" xfId="0" applyFont="1" applyAlignment="1">
      <alignment horizontal="right"/>
    </xf>
    <xf numFmtId="0" fontId="13" fillId="0" borderId="0" xfId="0" applyFont="1" applyAlignment="1">
      <alignment horizontal="center"/>
    </xf>
    <xf numFmtId="0" fontId="13" fillId="3" borderId="21" xfId="0" applyFont="1" applyFill="1" applyBorder="1"/>
    <xf numFmtId="0" fontId="13" fillId="4" borderId="21" xfId="0" applyFont="1" applyFill="1" applyBorder="1" applyAlignment="1">
      <alignment horizontal="center"/>
    </xf>
    <xf numFmtId="0" fontId="9" fillId="3" borderId="0" xfId="0" applyFont="1" applyFill="1"/>
    <xf numFmtId="0" fontId="9" fillId="3" borderId="0" xfId="0" applyFont="1" applyFill="1" applyAlignment="1">
      <alignment horizontal="right"/>
    </xf>
    <xf numFmtId="0" fontId="13" fillId="4" borderId="0" xfId="0" applyFont="1" applyFill="1" applyAlignment="1">
      <alignment horizontal="center"/>
    </xf>
    <xf numFmtId="0" fontId="13" fillId="3" borderId="0" xfId="0" applyFont="1" applyFill="1"/>
    <xf numFmtId="0" fontId="9" fillId="3" borderId="0" xfId="0" applyFont="1" applyFill="1" applyAlignment="1">
      <alignment vertical="top" wrapText="1"/>
    </xf>
    <xf numFmtId="0" fontId="9" fillId="3" borderId="0" xfId="0" applyFont="1" applyFill="1" applyAlignment="1">
      <alignment horizontal="right" vertical="top" wrapText="1"/>
    </xf>
    <xf numFmtId="164" fontId="9" fillId="3" borderId="0" xfId="0" applyNumberFormat="1" applyFont="1" applyFill="1"/>
    <xf numFmtId="0" fontId="9" fillId="3" borderId="0" xfId="0" applyFont="1" applyFill="1" applyAlignment="1">
      <alignment vertical="top"/>
    </xf>
    <xf numFmtId="164" fontId="9" fillId="3" borderId="0" xfId="0" applyNumberFormat="1" applyFont="1" applyFill="1" applyAlignment="1">
      <alignment vertical="top" wrapText="1"/>
    </xf>
    <xf numFmtId="2" fontId="9" fillId="3" borderId="0" xfId="0" applyNumberFormat="1" applyFont="1" applyFill="1" applyAlignment="1">
      <alignment vertical="top" wrapText="1"/>
    </xf>
    <xf numFmtId="2" fontId="9" fillId="3" borderId="0" xfId="0" applyNumberFormat="1" applyFont="1" applyFill="1"/>
    <xf numFmtId="166" fontId="9" fillId="3" borderId="0" xfId="0" applyNumberFormat="1" applyFont="1" applyFill="1"/>
    <xf numFmtId="0" fontId="9" fillId="0" borderId="0" xfId="0" applyFont="1" applyAlignment="1"/>
    <xf numFmtId="0" fontId="9" fillId="0" borderId="0" xfId="0" applyFont="1" applyAlignment="1">
      <alignment horizontal="center"/>
    </xf>
    <xf numFmtId="0" fontId="9" fillId="3" borderId="20" xfId="0" applyFont="1" applyFill="1" applyBorder="1"/>
    <xf numFmtId="0" fontId="9" fillId="3" borderId="20" xfId="0" applyFont="1" applyFill="1" applyBorder="1" applyAlignment="1">
      <alignment vertical="top" wrapText="1"/>
    </xf>
    <xf numFmtId="0" fontId="13" fillId="3" borderId="20" xfId="0" applyFont="1" applyFill="1" applyBorder="1"/>
    <xf numFmtId="0" fontId="13" fillId="4" borderId="20" xfId="0" applyFont="1" applyFill="1" applyBorder="1" applyAlignment="1">
      <alignment horizontal="center"/>
    </xf>
    <xf numFmtId="3" fontId="9" fillId="0" borderId="0" xfId="0" applyNumberFormat="1" applyFont="1"/>
    <xf numFmtId="0" fontId="14" fillId="0" borderId="0" xfId="0" applyFont="1" applyAlignment="1">
      <alignment horizontal="right"/>
    </xf>
    <xf numFmtId="0" fontId="13" fillId="5" borderId="21" xfId="0" applyFont="1" applyFill="1" applyBorder="1"/>
    <xf numFmtId="0" fontId="13" fillId="6" borderId="21" xfId="0" applyFont="1" applyFill="1" applyBorder="1" applyAlignment="1">
      <alignment horizontal="center"/>
    </xf>
    <xf numFmtId="0" fontId="9" fillId="5" borderId="0" xfId="0" applyFont="1" applyFill="1"/>
    <xf numFmtId="0" fontId="9" fillId="5" borderId="0" xfId="0" applyFont="1" applyFill="1" applyAlignment="1">
      <alignment horizontal="right"/>
    </xf>
    <xf numFmtId="0" fontId="13" fillId="6" borderId="0" xfId="0" applyFont="1" applyFill="1" applyAlignment="1">
      <alignment horizontal="center"/>
    </xf>
    <xf numFmtId="0" fontId="13" fillId="5" borderId="0" xfId="0" applyFont="1" applyFill="1"/>
    <xf numFmtId="0" fontId="9" fillId="5" borderId="16" xfId="0" applyFont="1" applyFill="1" applyBorder="1"/>
    <xf numFmtId="0" fontId="9" fillId="5" borderId="16" xfId="0" applyFont="1" applyFill="1" applyBorder="1" applyAlignment="1">
      <alignment horizontal="right"/>
    </xf>
    <xf numFmtId="0" fontId="9" fillId="5" borderId="20" xfId="0" applyFont="1" applyFill="1" applyBorder="1"/>
    <xf numFmtId="0" fontId="9" fillId="5" borderId="20" xfId="0" applyFont="1" applyFill="1" applyBorder="1" applyAlignment="1">
      <alignment horizontal="right"/>
    </xf>
    <xf numFmtId="167" fontId="9" fillId="5" borderId="0" xfId="0" applyNumberFormat="1" applyFont="1" applyFill="1"/>
    <xf numFmtId="168" fontId="9" fillId="5" borderId="0" xfId="0" applyNumberFormat="1" applyFont="1" applyFill="1"/>
    <xf numFmtId="164" fontId="9" fillId="5" borderId="0" xfId="0" applyNumberFormat="1" applyFont="1" applyFill="1"/>
    <xf numFmtId="0" fontId="13" fillId="5" borderId="20" xfId="0" applyFont="1" applyFill="1" applyBorder="1"/>
    <xf numFmtId="0" fontId="13" fillId="6" borderId="20" xfId="0" applyFont="1" applyFill="1" applyBorder="1" applyAlignment="1">
      <alignment horizontal="center"/>
    </xf>
    <xf numFmtId="0" fontId="13" fillId="7" borderId="21" xfId="0" applyFont="1" applyFill="1" applyBorder="1"/>
    <xf numFmtId="0" fontId="13" fillId="8" borderId="21" xfId="0" applyFont="1" applyFill="1" applyBorder="1" applyAlignment="1">
      <alignment horizontal="center"/>
    </xf>
    <xf numFmtId="0" fontId="9" fillId="7" borderId="0" xfId="0" applyFont="1" applyFill="1"/>
    <xf numFmtId="0" fontId="9" fillId="7" borderId="0" xfId="0" applyFont="1" applyFill="1" applyAlignment="1">
      <alignment vertical="top" wrapText="1"/>
    </xf>
    <xf numFmtId="0" fontId="13" fillId="8" borderId="0" xfId="0" applyFont="1" applyFill="1" applyAlignment="1">
      <alignment horizontal="center"/>
    </xf>
    <xf numFmtId="0" fontId="13" fillId="7" borderId="0" xfId="0" applyFont="1" applyFill="1"/>
    <xf numFmtId="0" fontId="13" fillId="7" borderId="0" xfId="0" applyFont="1" applyFill="1" applyAlignment="1">
      <alignment vertical="top"/>
    </xf>
    <xf numFmtId="0" fontId="9" fillId="7" borderId="0" xfId="0" applyFont="1" applyFill="1" applyAlignment="1">
      <alignment vertical="top"/>
    </xf>
    <xf numFmtId="0" fontId="9" fillId="7" borderId="0" xfId="0" applyFont="1" applyFill="1" applyAlignment="1"/>
    <xf numFmtId="164" fontId="9" fillId="7" borderId="0" xfId="0" applyNumberFormat="1" applyFont="1" applyFill="1" applyAlignment="1">
      <alignment vertical="top"/>
    </xf>
    <xf numFmtId="0" fontId="9" fillId="7" borderId="0" xfId="0" applyFont="1" applyFill="1" applyAlignment="1">
      <alignment horizontal="center" vertical="top"/>
    </xf>
    <xf numFmtId="1" fontId="9" fillId="7" borderId="0" xfId="0" applyNumberFormat="1" applyFont="1" applyFill="1"/>
    <xf numFmtId="2" fontId="9" fillId="7" borderId="0" xfId="0" applyNumberFormat="1" applyFont="1" applyFill="1" applyAlignment="1">
      <alignment vertical="top"/>
    </xf>
    <xf numFmtId="0" fontId="9" fillId="8" borderId="0" xfId="0" applyFont="1" applyFill="1" applyAlignment="1">
      <alignment horizontal="left" vertical="top"/>
    </xf>
    <xf numFmtId="0" fontId="13" fillId="7" borderId="0" xfId="0" applyFont="1" applyFill="1" applyAlignment="1"/>
    <xf numFmtId="166" fontId="9" fillId="7" borderId="0" xfId="0" applyNumberFormat="1" applyFont="1" applyFill="1"/>
    <xf numFmtId="0" fontId="17" fillId="8" borderId="0" xfId="0" applyFont="1" applyFill="1"/>
    <xf numFmtId="172" fontId="9" fillId="7" borderId="0" xfId="0" applyNumberFormat="1" applyFont="1" applyFill="1"/>
    <xf numFmtId="167" fontId="9" fillId="7" borderId="0" xfId="0" applyNumberFormat="1" applyFont="1" applyFill="1"/>
    <xf numFmtId="164" fontId="9" fillId="7" borderId="0" xfId="0" applyNumberFormat="1" applyFont="1" applyFill="1"/>
    <xf numFmtId="173" fontId="9" fillId="7" borderId="0" xfId="0" applyNumberFormat="1" applyFont="1" applyFill="1"/>
    <xf numFmtId="0" fontId="13" fillId="7" borderId="20" xfId="0" applyFont="1" applyFill="1" applyBorder="1"/>
    <xf numFmtId="2" fontId="9" fillId="7" borderId="20" xfId="0" applyNumberFormat="1" applyFont="1" applyFill="1" applyBorder="1"/>
    <xf numFmtId="0" fontId="9" fillId="7" borderId="20" xfId="0" applyFont="1" applyFill="1" applyBorder="1"/>
    <xf numFmtId="164" fontId="9" fillId="0" borderId="0" xfId="0" applyNumberFormat="1" applyFont="1"/>
    <xf numFmtId="169" fontId="9" fillId="0" borderId="0" xfId="0" applyNumberFormat="1" applyFont="1"/>
    <xf numFmtId="170" fontId="9" fillId="0" borderId="0" xfId="1" applyNumberFormat="1" applyFont="1"/>
    <xf numFmtId="171" fontId="9" fillId="0" borderId="0" xfId="0" applyNumberFormat="1" applyFont="1"/>
    <xf numFmtId="0" fontId="13" fillId="0" borderId="0" xfId="0" applyFont="1" applyFill="1"/>
    <xf numFmtId="0" fontId="11" fillId="2" borderId="2" xfId="0" applyFont="1" applyFill="1" applyBorder="1"/>
    <xf numFmtId="0" fontId="11" fillId="2" borderId="5" xfId="0" applyFont="1" applyFill="1" applyBorder="1"/>
    <xf numFmtId="164" fontId="9" fillId="9" borderId="0" xfId="0" applyNumberFormat="1" applyFont="1" applyFill="1" applyAlignment="1">
      <alignment vertical="top" wrapText="1"/>
    </xf>
    <xf numFmtId="166" fontId="9" fillId="9" borderId="0" xfId="0" applyNumberFormat="1" applyFont="1" applyFill="1"/>
    <xf numFmtId="0" fontId="9" fillId="9" borderId="0" xfId="0" applyFont="1" applyFill="1" applyAlignment="1">
      <alignment horizontal="right"/>
    </xf>
    <xf numFmtId="164" fontId="9" fillId="9" borderId="0" xfId="0" applyNumberFormat="1" applyFont="1" applyFill="1"/>
    <xf numFmtId="2" fontId="9" fillId="9" borderId="0" xfId="0" applyNumberFormat="1" applyFont="1" applyFill="1"/>
    <xf numFmtId="0" fontId="9" fillId="9" borderId="0" xfId="0" applyFont="1" applyFill="1"/>
    <xf numFmtId="0" fontId="9" fillId="9" borderId="0" xfId="0" applyFont="1" applyFill="1" applyAlignment="1"/>
    <xf numFmtId="0" fontId="9" fillId="9" borderId="0" xfId="0" applyFont="1" applyFill="1" applyAlignment="1">
      <alignment vertical="top" wrapText="1"/>
    </xf>
    <xf numFmtId="0" fontId="9" fillId="2" borderId="0" xfId="0" applyFont="1" applyFill="1" applyBorder="1"/>
    <xf numFmtId="0" fontId="13" fillId="2" borderId="1" xfId="0" applyFont="1" applyFill="1" applyBorder="1"/>
    <xf numFmtId="0" fontId="11" fillId="0" borderId="6" xfId="0" applyFont="1" applyFill="1" applyBorder="1" applyProtection="1">
      <protection locked="0"/>
    </xf>
    <xf numFmtId="0" fontId="9" fillId="2" borderId="6" xfId="0" applyFont="1" applyFill="1" applyBorder="1"/>
    <xf numFmtId="0" fontId="13" fillId="2" borderId="4" xfId="0" applyFont="1" applyFill="1" applyBorder="1"/>
    <xf numFmtId="0" fontId="11" fillId="0" borderId="7" xfId="0" applyFont="1" applyFill="1" applyBorder="1" applyProtection="1">
      <protection locked="0"/>
    </xf>
    <xf numFmtId="0" fontId="9" fillId="10" borderId="7" xfId="0" applyFont="1" applyFill="1" applyBorder="1"/>
    <xf numFmtId="0" fontId="9" fillId="2" borderId="7" xfId="0" applyFont="1" applyFill="1" applyBorder="1"/>
    <xf numFmtId="0" fontId="9" fillId="0" borderId="0" xfId="0" applyFont="1" applyFill="1" applyBorder="1"/>
    <xf numFmtId="0" fontId="11" fillId="11" borderId="3" xfId="0" applyFont="1" applyFill="1" applyBorder="1"/>
    <xf numFmtId="0" fontId="11" fillId="11" borderId="0" xfId="0" applyFont="1" applyFill="1" applyBorder="1" applyProtection="1">
      <protection locked="0"/>
    </xf>
    <xf numFmtId="0" fontId="11" fillId="11" borderId="0" xfId="0" applyFont="1" applyFill="1" applyBorder="1"/>
    <xf numFmtId="0" fontId="11" fillId="0" borderId="0" xfId="0" applyFont="1" applyFill="1" applyBorder="1"/>
    <xf numFmtId="0" fontId="11" fillId="11" borderId="8" xfId="0" applyFont="1" applyFill="1" applyBorder="1" applyAlignment="1">
      <alignment horizontal="right"/>
    </xf>
    <xf numFmtId="0" fontId="11" fillId="10" borderId="0" xfId="0" applyFont="1" applyFill="1" applyBorder="1"/>
    <xf numFmtId="0" fontId="11" fillId="11" borderId="4" xfId="0" applyFont="1" applyFill="1" applyBorder="1"/>
    <xf numFmtId="0" fontId="11" fillId="11" borderId="7" xfId="0" applyFont="1" applyFill="1" applyBorder="1" applyProtection="1">
      <protection locked="0"/>
    </xf>
    <xf numFmtId="0" fontId="11" fillId="11" borderId="7" xfId="0" applyFont="1" applyFill="1" applyBorder="1"/>
    <xf numFmtId="0" fontId="11" fillId="11" borderId="1" xfId="0" applyFont="1" applyFill="1" applyBorder="1"/>
    <xf numFmtId="0" fontId="11" fillId="11" borderId="6" xfId="0" applyFont="1" applyFill="1" applyBorder="1" applyProtection="1">
      <protection locked="0"/>
    </xf>
    <xf numFmtId="0" fontId="11" fillId="11" borderId="6" xfId="0" applyFont="1" applyFill="1" applyBorder="1"/>
    <xf numFmtId="0" fontId="11" fillId="11" borderId="2" xfId="0" applyFont="1" applyFill="1" applyBorder="1" applyAlignment="1">
      <alignment horizontal="right"/>
    </xf>
    <xf numFmtId="0" fontId="11" fillId="11" borderId="5" xfId="0" applyFont="1" applyFill="1" applyBorder="1" applyAlignment="1">
      <alignment horizontal="right"/>
    </xf>
    <xf numFmtId="165" fontId="12" fillId="2" borderId="23" xfId="0" applyNumberFormat="1" applyFont="1" applyFill="1" applyBorder="1"/>
    <xf numFmtId="174" fontId="11" fillId="2" borderId="8" xfId="0" applyNumberFormat="1" applyFont="1" applyFill="1" applyBorder="1"/>
    <xf numFmtId="174" fontId="11" fillId="2" borderId="5" xfId="0" applyNumberFormat="1" applyFont="1" applyFill="1" applyBorder="1"/>
    <xf numFmtId="0" fontId="12" fillId="2" borderId="24" xfId="0" applyFont="1" applyFill="1" applyBorder="1" applyAlignment="1">
      <alignment horizontal="right"/>
    </xf>
    <xf numFmtId="0" fontId="11" fillId="2" borderId="0" xfId="0" applyFont="1" applyFill="1" applyBorder="1" applyAlignment="1">
      <alignment horizontal="right"/>
    </xf>
    <xf numFmtId="0" fontId="11" fillId="2" borderId="7" xfId="0" applyFont="1" applyFill="1" applyBorder="1" applyAlignment="1">
      <alignment horizontal="right"/>
    </xf>
    <xf numFmtId="0" fontId="11" fillId="11" borderId="9" xfId="0" applyFont="1" applyFill="1" applyBorder="1"/>
    <xf numFmtId="0" fontId="11" fillId="11" borderId="10" xfId="0" applyFont="1" applyFill="1" applyBorder="1"/>
    <xf numFmtId="0" fontId="12" fillId="11" borderId="6" xfId="0" applyFont="1" applyFill="1" applyBorder="1" applyAlignment="1">
      <alignment wrapText="1"/>
    </xf>
    <xf numFmtId="0" fontId="12" fillId="11" borderId="6" xfId="0" applyFont="1" applyFill="1" applyBorder="1" applyAlignment="1">
      <alignment horizontal="left"/>
    </xf>
    <xf numFmtId="0" fontId="12" fillId="11" borderId="2" xfId="0" applyFont="1" applyFill="1" applyBorder="1" applyAlignment="1">
      <alignment wrapText="1"/>
    </xf>
    <xf numFmtId="0" fontId="11" fillId="11" borderId="0" xfId="0" applyFont="1" applyFill="1" applyBorder="1" applyProtection="1"/>
    <xf numFmtId="0" fontId="11" fillId="11" borderId="8" xfId="0" applyFont="1" applyFill="1" applyBorder="1" applyAlignment="1" applyProtection="1">
      <alignment horizontal="right"/>
    </xf>
    <xf numFmtId="0" fontId="11" fillId="11" borderId="0" xfId="0" applyFont="1" applyFill="1" applyBorder="1" applyAlignment="1" applyProtection="1">
      <alignment horizontal="right" vertical="top" wrapText="1"/>
    </xf>
    <xf numFmtId="0" fontId="11" fillId="11" borderId="8" xfId="0" applyFont="1" applyFill="1" applyBorder="1" applyAlignment="1" applyProtection="1">
      <alignment horizontal="right" vertical="top" wrapText="1"/>
    </xf>
    <xf numFmtId="164" fontId="11" fillId="11" borderId="0" xfId="0" applyNumberFormat="1" applyFont="1" applyFill="1" applyBorder="1" applyAlignment="1" applyProtection="1">
      <alignment horizontal="right" vertical="top" wrapText="1"/>
    </xf>
    <xf numFmtId="164" fontId="11" fillId="11" borderId="8" xfId="0" applyNumberFormat="1" applyFont="1" applyFill="1" applyBorder="1" applyAlignment="1" applyProtection="1">
      <alignment horizontal="right" vertical="top" wrapText="1"/>
    </xf>
    <xf numFmtId="2" fontId="11" fillId="11" borderId="0" xfId="0" applyNumberFormat="1" applyFont="1" applyFill="1" applyBorder="1" applyAlignment="1" applyProtection="1">
      <alignment horizontal="right" vertical="top" wrapText="1"/>
    </xf>
    <xf numFmtId="2" fontId="11" fillId="11" borderId="8" xfId="0" applyNumberFormat="1" applyFont="1" applyFill="1" applyBorder="1" applyAlignment="1" applyProtection="1">
      <alignment horizontal="right" vertical="top" wrapText="1"/>
    </xf>
    <xf numFmtId="165" fontId="11" fillId="11" borderId="8" xfId="0" applyNumberFormat="1" applyFont="1" applyFill="1" applyBorder="1" applyAlignment="1">
      <alignment horizontal="right"/>
    </xf>
    <xf numFmtId="166" fontId="11" fillId="11" borderId="7" xfId="0" applyNumberFormat="1" applyFont="1" applyFill="1" applyBorder="1" applyProtection="1">
      <protection locked="0"/>
    </xf>
    <xf numFmtId="0" fontId="16" fillId="11" borderId="7" xfId="0" applyFont="1" applyFill="1" applyBorder="1"/>
    <xf numFmtId="0" fontId="11" fillId="10" borderId="11" xfId="0" applyFont="1" applyFill="1" applyBorder="1"/>
    <xf numFmtId="0" fontId="11" fillId="10" borderId="9" xfId="0" applyFont="1" applyFill="1" applyBorder="1"/>
    <xf numFmtId="0" fontId="11" fillId="10" borderId="10" xfId="0" applyFont="1" applyFill="1" applyBorder="1"/>
    <xf numFmtId="0" fontId="12" fillId="11" borderId="11" xfId="0" applyFont="1" applyFill="1" applyBorder="1"/>
    <xf numFmtId="0" fontId="9" fillId="0" borderId="0" xfId="0" applyFont="1" applyFill="1" applyBorder="1" applyProtection="1">
      <protection locked="0"/>
    </xf>
    <xf numFmtId="0" fontId="9" fillId="0" borderId="6" xfId="0" applyFont="1" applyFill="1" applyBorder="1" applyProtection="1">
      <protection locked="0"/>
    </xf>
    <xf numFmtId="0" fontId="9" fillId="2" borderId="2" xfId="0" applyFont="1" applyFill="1" applyBorder="1" applyAlignment="1">
      <alignment horizontal="right"/>
    </xf>
    <xf numFmtId="0" fontId="9" fillId="2" borderId="3" xfId="0" applyFont="1" applyFill="1" applyBorder="1"/>
    <xf numFmtId="0" fontId="9" fillId="2" borderId="8" xfId="0" applyFont="1" applyFill="1" applyBorder="1" applyAlignment="1">
      <alignment horizontal="right"/>
    </xf>
    <xf numFmtId="0" fontId="9" fillId="2" borderId="4" xfId="0" applyFont="1" applyFill="1" applyBorder="1"/>
    <xf numFmtId="0" fontId="9" fillId="2" borderId="5" xfId="0" applyFont="1" applyFill="1" applyBorder="1" applyAlignment="1">
      <alignment horizontal="right"/>
    </xf>
    <xf numFmtId="0" fontId="9" fillId="2" borderId="2" xfId="0" applyFont="1" applyFill="1" applyBorder="1"/>
    <xf numFmtId="0" fontId="13" fillId="2" borderId="3" xfId="0" applyFont="1" applyFill="1" applyBorder="1"/>
    <xf numFmtId="0" fontId="9" fillId="2" borderId="8" xfId="0" applyFont="1" applyFill="1" applyBorder="1"/>
    <xf numFmtId="0" fontId="9" fillId="2" borderId="5" xfId="0" applyFont="1" applyFill="1" applyBorder="1"/>
    <xf numFmtId="0" fontId="9" fillId="7" borderId="3" xfId="0" applyFont="1" applyFill="1" applyBorder="1"/>
    <xf numFmtId="0" fontId="9" fillId="7" borderId="0" xfId="0" applyFont="1" applyFill="1" applyBorder="1"/>
    <xf numFmtId="0" fontId="9" fillId="7" borderId="8" xfId="0" applyFont="1" applyFill="1" applyBorder="1"/>
    <xf numFmtId="0" fontId="13" fillId="7" borderId="25" xfId="0" applyFont="1" applyFill="1" applyBorder="1"/>
    <xf numFmtId="0" fontId="13" fillId="7" borderId="26" xfId="0" applyFont="1" applyFill="1" applyBorder="1"/>
    <xf numFmtId="0" fontId="13" fillId="7" borderId="27" xfId="0" applyFont="1" applyFill="1" applyBorder="1"/>
    <xf numFmtId="0" fontId="9" fillId="13" borderId="11" xfId="0" applyFont="1" applyFill="1" applyBorder="1"/>
    <xf numFmtId="0" fontId="9" fillId="12" borderId="9" xfId="0" applyFont="1" applyFill="1" applyBorder="1"/>
    <xf numFmtId="0" fontId="9" fillId="13" borderId="9" xfId="0" applyFont="1" applyFill="1" applyBorder="1" applyAlignment="1"/>
    <xf numFmtId="0" fontId="9" fillId="13" borderId="10" xfId="0" applyFont="1" applyFill="1" applyBorder="1" applyAlignment="1"/>
    <xf numFmtId="0" fontId="9" fillId="12" borderId="0" xfId="0" applyFont="1" applyFill="1"/>
    <xf numFmtId="0" fontId="13" fillId="14" borderId="0" xfId="0" applyFont="1" applyFill="1" applyAlignment="1">
      <alignment horizontal="center"/>
    </xf>
    <xf numFmtId="0" fontId="9" fillId="0" borderId="0" xfId="0" applyFont="1" applyFill="1" applyBorder="1" applyAlignment="1" applyProtection="1">
      <protection locked="0"/>
    </xf>
    <xf numFmtId="0" fontId="7" fillId="11" borderId="3" xfId="0" applyFont="1" applyFill="1" applyBorder="1"/>
    <xf numFmtId="2" fontId="7" fillId="11" borderId="0" xfId="0" applyNumberFormat="1" applyFont="1" applyFill="1" applyBorder="1" applyAlignment="1" applyProtection="1">
      <alignment horizontal="right" vertical="top" wrapText="1"/>
    </xf>
    <xf numFmtId="2" fontId="7" fillId="11" borderId="8" xfId="0" applyNumberFormat="1" applyFont="1" applyFill="1" applyBorder="1" applyAlignment="1" applyProtection="1">
      <alignment horizontal="right" vertical="top" wrapText="1"/>
    </xf>
    <xf numFmtId="0" fontId="7" fillId="11" borderId="0" xfId="0" applyFont="1" applyFill="1" applyBorder="1" applyAlignment="1" applyProtection="1">
      <alignment horizontal="right" vertical="top" wrapText="1"/>
    </xf>
    <xf numFmtId="0" fontId="7" fillId="11" borderId="8" xfId="0" applyFont="1" applyFill="1" applyBorder="1" applyAlignment="1" applyProtection="1">
      <alignment horizontal="right" vertical="top" wrapText="1"/>
    </xf>
    <xf numFmtId="0" fontId="7" fillId="11" borderId="4" xfId="0" applyFont="1" applyFill="1" applyBorder="1"/>
    <xf numFmtId="0" fontId="7" fillId="11" borderId="7" xfId="0" applyFont="1" applyFill="1" applyBorder="1" applyProtection="1"/>
    <xf numFmtId="0" fontId="7" fillId="11" borderId="5" xfId="0" applyFont="1" applyFill="1" applyBorder="1" applyAlignment="1" applyProtection="1">
      <alignment horizontal="right"/>
    </xf>
    <xf numFmtId="0" fontId="7" fillId="10" borderId="3" xfId="0" applyFont="1" applyFill="1" applyBorder="1"/>
    <xf numFmtId="0" fontId="7" fillId="10" borderId="0" xfId="0" applyFont="1" applyFill="1" applyBorder="1"/>
    <xf numFmtId="0" fontId="7" fillId="10" borderId="8" xfId="0" applyFont="1" applyFill="1" applyBorder="1" applyAlignment="1">
      <alignment horizontal="right"/>
    </xf>
    <xf numFmtId="166" fontId="9" fillId="0" borderId="16" xfId="0" applyNumberFormat="1" applyFont="1" applyBorder="1" applyProtection="1">
      <protection locked="0"/>
    </xf>
    <xf numFmtId="166" fontId="9" fillId="0" borderId="0" xfId="0" applyNumberFormat="1" applyFont="1" applyAlignment="1" applyProtection="1">
      <alignment vertical="top" wrapText="1"/>
      <protection locked="0"/>
    </xf>
    <xf numFmtId="0" fontId="6" fillId="10" borderId="0" xfId="0" applyFont="1" applyFill="1" applyBorder="1"/>
    <xf numFmtId="0" fontId="9" fillId="17" borderId="0" xfId="0" applyFont="1" applyFill="1" applyBorder="1"/>
    <xf numFmtId="0" fontId="6" fillId="0" borderId="0" xfId="0" applyFont="1" applyBorder="1"/>
    <xf numFmtId="0" fontId="19" fillId="0" borderId="0" xfId="0" applyFont="1" applyBorder="1"/>
    <xf numFmtId="0" fontId="6" fillId="0" borderId="0" xfId="0" applyFont="1" applyBorder="1" applyAlignment="1">
      <alignment horizontal="center"/>
    </xf>
    <xf numFmtId="0" fontId="20" fillId="0" borderId="0" xfId="0" applyFont="1" applyBorder="1"/>
    <xf numFmtId="0" fontId="6" fillId="0" borderId="0" xfId="0" applyFont="1" applyFill="1" applyBorder="1"/>
    <xf numFmtId="0" fontId="19" fillId="15" borderId="6" xfId="0" applyFont="1" applyFill="1" applyBorder="1"/>
    <xf numFmtId="0" fontId="6" fillId="15" borderId="6" xfId="0" applyFont="1" applyFill="1" applyBorder="1"/>
    <xf numFmtId="0" fontId="6" fillId="18" borderId="6" xfId="0" applyFont="1" applyFill="1" applyBorder="1"/>
    <xf numFmtId="0" fontId="20" fillId="0" borderId="1" xfId="0" applyFont="1" applyFill="1" applyBorder="1"/>
    <xf numFmtId="0" fontId="6" fillId="0" borderId="6" xfId="0" applyFont="1" applyFill="1" applyBorder="1"/>
    <xf numFmtId="0" fontId="6" fillId="0" borderId="6" xfId="0" applyFont="1" applyBorder="1"/>
    <xf numFmtId="0" fontId="6" fillId="0" borderId="2" xfId="0" applyFont="1" applyBorder="1"/>
    <xf numFmtId="0" fontId="21" fillId="0" borderId="1" xfId="0" applyFont="1" applyBorder="1"/>
    <xf numFmtId="0" fontId="21" fillId="0" borderId="6" xfId="0" applyFont="1" applyBorder="1"/>
    <xf numFmtId="0" fontId="21" fillId="0" borderId="2" xfId="0" applyFont="1" applyBorder="1"/>
    <xf numFmtId="0" fontId="20" fillId="15" borderId="0" xfId="0" applyFont="1" applyFill="1" applyBorder="1"/>
    <xf numFmtId="0" fontId="6" fillId="15" borderId="0" xfId="0" applyFont="1" applyFill="1" applyBorder="1"/>
    <xf numFmtId="0" fontId="20" fillId="15" borderId="0" xfId="0" applyFont="1" applyFill="1" applyBorder="1" applyAlignment="1">
      <alignment horizontal="right"/>
    </xf>
    <xf numFmtId="0" fontId="20" fillId="18" borderId="0" xfId="0" applyFont="1" applyFill="1" applyBorder="1" applyAlignment="1">
      <alignment horizontal="center"/>
    </xf>
    <xf numFmtId="0" fontId="6" fillId="0" borderId="3" xfId="0" applyFont="1" applyFill="1" applyBorder="1"/>
    <xf numFmtId="0" fontId="6" fillId="0" borderId="8" xfId="0" applyFont="1" applyBorder="1"/>
    <xf numFmtId="0" fontId="21" fillId="0" borderId="3" xfId="0" applyFont="1" applyBorder="1"/>
    <xf numFmtId="0" fontId="21" fillId="0" borderId="0" xfId="0" applyFont="1" applyBorder="1"/>
    <xf numFmtId="0" fontId="21" fillId="0" borderId="8" xfId="0" applyFont="1" applyBorder="1"/>
    <xf numFmtId="2" fontId="6" fillId="15" borderId="0" xfId="0" applyNumberFormat="1" applyFont="1" applyFill="1" applyBorder="1" applyAlignment="1">
      <alignment horizontal="center"/>
    </xf>
    <xf numFmtId="0" fontId="6" fillId="15" borderId="0" xfId="0" applyFont="1" applyFill="1" applyBorder="1" applyAlignment="1">
      <alignment horizontal="right"/>
    </xf>
    <xf numFmtId="0" fontId="20" fillId="19" borderId="0" xfId="0" applyFont="1" applyFill="1" applyBorder="1" applyAlignment="1">
      <alignment horizontal="center"/>
    </xf>
    <xf numFmtId="1" fontId="21" fillId="0" borderId="8" xfId="0" applyNumberFormat="1" applyFont="1" applyBorder="1"/>
    <xf numFmtId="0" fontId="6" fillId="15" borderId="0" xfId="0" applyFont="1" applyFill="1" applyBorder="1" applyAlignment="1">
      <alignment horizontal="center"/>
    </xf>
    <xf numFmtId="166" fontId="6" fillId="15" borderId="0" xfId="0" applyNumberFormat="1" applyFont="1" applyFill="1" applyBorder="1" applyAlignment="1">
      <alignment horizontal="center"/>
    </xf>
    <xf numFmtId="0" fontId="6" fillId="18" borderId="0" xfId="0" applyFont="1" applyFill="1" applyBorder="1" applyAlignment="1">
      <alignment horizontal="center"/>
    </xf>
    <xf numFmtId="0" fontId="6" fillId="20" borderId="0" xfId="0" applyFont="1" applyFill="1" applyBorder="1"/>
    <xf numFmtId="0" fontId="6" fillId="18" borderId="0" xfId="0" applyFont="1" applyFill="1" applyBorder="1"/>
    <xf numFmtId="0" fontId="20" fillId="0" borderId="4" xfId="0" applyFont="1" applyFill="1" applyBorder="1"/>
    <xf numFmtId="0" fontId="20" fillId="0" borderId="7" xfId="0" applyFont="1" applyFill="1" applyBorder="1" applyProtection="1"/>
    <xf numFmtId="0" fontId="6" fillId="0" borderId="7" xfId="0" applyFont="1" applyBorder="1"/>
    <xf numFmtId="0" fontId="6" fillId="0" borderId="5" xfId="0" applyFont="1" applyBorder="1"/>
    <xf numFmtId="166" fontId="20" fillId="15" borderId="0" xfId="0" applyNumberFormat="1" applyFont="1" applyFill="1" applyBorder="1" applyAlignment="1">
      <alignment horizontal="center"/>
    </xf>
    <xf numFmtId="0" fontId="20" fillId="0" borderId="1" xfId="0" applyFont="1" applyFill="1" applyBorder="1" applyProtection="1"/>
    <xf numFmtId="0" fontId="6" fillId="0" borderId="6" xfId="0" applyFont="1" applyFill="1" applyBorder="1" applyProtection="1"/>
    <xf numFmtId="0" fontId="6" fillId="0" borderId="3" xfId="0" applyFont="1" applyFill="1" applyBorder="1" applyProtection="1"/>
    <xf numFmtId="0" fontId="6" fillId="0" borderId="0" xfId="0" applyFont="1" applyFill="1" applyBorder="1" applyProtection="1"/>
    <xf numFmtId="0" fontId="19" fillId="15" borderId="0" xfId="0" applyFont="1" applyFill="1" applyBorder="1"/>
    <xf numFmtId="0" fontId="6" fillId="0" borderId="4" xfId="0" applyFont="1" applyFill="1" applyBorder="1" applyProtection="1"/>
    <xf numFmtId="0" fontId="6" fillId="0" borderId="7" xfId="0" applyFont="1" applyFill="1" applyBorder="1" applyProtection="1"/>
    <xf numFmtId="0" fontId="6" fillId="0" borderId="7" xfId="0" applyFont="1" applyFill="1" applyBorder="1"/>
    <xf numFmtId="0" fontId="6" fillId="0" borderId="1" xfId="0" applyFont="1" applyBorder="1"/>
    <xf numFmtId="0" fontId="6" fillId="0" borderId="3" xfId="0" applyFont="1" applyBorder="1"/>
    <xf numFmtId="0" fontId="6" fillId="0" borderId="0" xfId="0" applyFont="1" applyBorder="1" applyAlignment="1">
      <alignment horizontal="right" vertical="center"/>
    </xf>
    <xf numFmtId="0" fontId="6" fillId="0" borderId="0" xfId="0" applyFont="1" applyBorder="1" applyAlignment="1">
      <alignment horizontal="right"/>
    </xf>
    <xf numFmtId="2" fontId="6" fillId="0" borderId="0" xfId="0" applyNumberFormat="1" applyFont="1" applyBorder="1" applyAlignment="1">
      <alignment horizontal="right" vertical="center"/>
    </xf>
    <xf numFmtId="2" fontId="6" fillId="0" borderId="0" xfId="0" applyNumberFormat="1" applyFont="1" applyBorder="1"/>
    <xf numFmtId="0" fontId="20" fillId="0" borderId="0" xfId="0" applyFont="1" applyBorder="1" applyAlignment="1">
      <alignment horizontal="right"/>
    </xf>
    <xf numFmtId="2" fontId="20" fillId="15" borderId="0" xfId="0" applyNumberFormat="1" applyFont="1" applyFill="1" applyBorder="1" applyAlignment="1">
      <alignment horizontal="center"/>
    </xf>
    <xf numFmtId="0" fontId="22" fillId="0" borderId="3" xfId="0" applyFont="1" applyBorder="1"/>
    <xf numFmtId="0" fontId="21" fillId="0" borderId="3" xfId="0" applyFont="1" applyBorder="1" applyAlignment="1">
      <alignment horizontal="left"/>
    </xf>
    <xf numFmtId="0" fontId="20" fillId="18" borderId="0" xfId="0" applyFont="1" applyFill="1" applyBorder="1"/>
    <xf numFmtId="0" fontId="23" fillId="0" borderId="3" xfId="0" applyFont="1" applyBorder="1"/>
    <xf numFmtId="1" fontId="23" fillId="0" borderId="0" xfId="0" applyNumberFormat="1" applyFont="1" applyBorder="1"/>
    <xf numFmtId="1" fontId="23" fillId="0" borderId="8" xfId="0" applyNumberFormat="1" applyFont="1" applyBorder="1"/>
    <xf numFmtId="0" fontId="6" fillId="0" borderId="4" xfId="0" applyFont="1" applyBorder="1"/>
    <xf numFmtId="0" fontId="21" fillId="0" borderId="7" xfId="0" applyFont="1" applyBorder="1"/>
    <xf numFmtId="0" fontId="21" fillId="0" borderId="5" xfId="0" applyFont="1" applyBorder="1"/>
    <xf numFmtId="2" fontId="6" fillId="15" borderId="0" xfId="0" applyNumberFormat="1" applyFont="1" applyFill="1" applyBorder="1" applyAlignment="1">
      <alignment horizontal="right"/>
    </xf>
    <xf numFmtId="0" fontId="0" fillId="0" borderId="0" xfId="0" applyBorder="1"/>
    <xf numFmtId="0" fontId="24" fillId="0" borderId="1" xfId="0" applyFont="1" applyBorder="1" applyAlignment="1">
      <alignment wrapText="1"/>
    </xf>
    <xf numFmtId="0" fontId="24" fillId="0" borderId="6" xfId="0" applyFont="1" applyBorder="1" applyAlignment="1">
      <alignment wrapText="1"/>
    </xf>
    <xf numFmtId="0" fontId="24" fillId="0" borderId="6" xfId="0" applyFont="1" applyBorder="1" applyAlignment="1">
      <alignment vertical="top" wrapText="1"/>
    </xf>
    <xf numFmtId="0" fontId="24" fillId="0" borderId="2" xfId="0" applyFont="1" applyBorder="1" applyAlignment="1">
      <alignment vertical="top" wrapText="1"/>
    </xf>
    <xf numFmtId="0" fontId="24" fillId="0" borderId="3" xfId="0" applyFont="1" applyBorder="1" applyAlignment="1">
      <alignment wrapText="1"/>
    </xf>
    <xf numFmtId="0" fontId="24" fillId="0" borderId="0" xfId="0" applyFont="1" applyBorder="1" applyAlignment="1">
      <alignment wrapText="1"/>
    </xf>
    <xf numFmtId="0" fontId="24" fillId="0" borderId="0" xfId="0" applyFont="1" applyBorder="1" applyAlignment="1">
      <alignment vertical="top" wrapText="1"/>
    </xf>
    <xf numFmtId="0" fontId="24" fillId="0" borderId="8" xfId="0" applyFont="1" applyBorder="1" applyAlignment="1">
      <alignment wrapText="1"/>
    </xf>
    <xf numFmtId="0" fontId="24" fillId="0" borderId="4" xfId="0" applyFont="1" applyBorder="1" applyAlignment="1">
      <alignment wrapText="1"/>
    </xf>
    <xf numFmtId="0" fontId="24" fillId="0" borderId="7" xfId="0" applyFont="1" applyBorder="1" applyAlignment="1">
      <alignment wrapText="1"/>
    </xf>
    <xf numFmtId="0" fontId="24" fillId="0" borderId="7" xfId="0" applyFont="1" applyBorder="1" applyAlignment="1">
      <alignment vertical="top" wrapText="1"/>
    </xf>
    <xf numFmtId="0" fontId="24" fillId="0" borderId="5" xfId="0" applyFont="1" applyBorder="1" applyAlignment="1">
      <alignment wrapText="1"/>
    </xf>
    <xf numFmtId="0" fontId="24" fillId="0" borderId="3" xfId="0" applyFont="1" applyBorder="1"/>
    <xf numFmtId="0" fontId="24" fillId="0" borderId="0" xfId="0" applyFont="1" applyBorder="1"/>
    <xf numFmtId="0" fontId="24" fillId="0" borderId="8" xfId="0" applyFont="1" applyBorder="1"/>
    <xf numFmtId="2" fontId="20" fillId="15" borderId="0" xfId="0" applyNumberFormat="1" applyFont="1" applyFill="1" applyBorder="1" applyAlignment="1">
      <alignment horizontal="right"/>
    </xf>
    <xf numFmtId="0" fontId="20" fillId="15" borderId="7" xfId="0" applyFont="1" applyFill="1" applyBorder="1"/>
    <xf numFmtId="2" fontId="20" fillId="15" borderId="7" xfId="0" applyNumberFormat="1" applyFont="1" applyFill="1" applyBorder="1"/>
    <xf numFmtId="2" fontId="20" fillId="15" borderId="7" xfId="0" applyNumberFormat="1" applyFont="1" applyFill="1" applyBorder="1" applyAlignment="1">
      <alignment horizontal="center"/>
    </xf>
    <xf numFmtId="0" fontId="6" fillId="18" borderId="7" xfId="0" applyFont="1" applyFill="1" applyBorder="1"/>
    <xf numFmtId="2" fontId="20" fillId="15" borderId="0" xfId="0" applyNumberFormat="1" applyFont="1" applyFill="1" applyBorder="1"/>
    <xf numFmtId="2" fontId="6" fillId="15" borderId="0" xfId="0" applyNumberFormat="1" applyFont="1" applyFill="1" applyBorder="1"/>
    <xf numFmtId="172" fontId="6" fillId="15" borderId="0" xfId="0" applyNumberFormat="1" applyFont="1" applyFill="1" applyBorder="1"/>
    <xf numFmtId="0" fontId="6" fillId="15" borderId="7" xfId="0" applyFont="1" applyFill="1" applyBorder="1"/>
    <xf numFmtId="0" fontId="20" fillId="15" borderId="7" xfId="0" applyFont="1" applyFill="1" applyBorder="1" applyAlignment="1">
      <alignment horizontal="right"/>
    </xf>
    <xf numFmtId="0" fontId="24" fillId="0" borderId="4" xfId="0" applyFont="1" applyBorder="1"/>
    <xf numFmtId="0" fontId="24" fillId="0" borderId="7" xfId="0" applyFont="1" applyBorder="1"/>
    <xf numFmtId="0" fontId="24" fillId="0" borderId="5" xfId="0" applyFont="1" applyBorder="1"/>
    <xf numFmtId="0" fontId="25" fillId="0" borderId="0" xfId="0" applyFont="1" applyBorder="1"/>
    <xf numFmtId="1" fontId="13" fillId="3" borderId="20" xfId="0" applyNumberFormat="1" applyFont="1" applyFill="1" applyBorder="1"/>
    <xf numFmtId="2" fontId="9" fillId="7" borderId="0" xfId="0" applyNumberFormat="1" applyFont="1" applyFill="1"/>
    <xf numFmtId="0" fontId="13" fillId="7" borderId="21" xfId="0" applyFont="1" applyFill="1" applyBorder="1" applyAlignment="1">
      <alignment horizontal="right"/>
    </xf>
    <xf numFmtId="0" fontId="9" fillId="7" borderId="0" xfId="0" applyFont="1" applyFill="1" applyAlignment="1">
      <alignment horizontal="right"/>
    </xf>
    <xf numFmtId="2" fontId="9" fillId="7" borderId="0" xfId="0" applyNumberFormat="1" applyFont="1" applyFill="1" applyAlignment="1">
      <alignment horizontal="right"/>
    </xf>
    <xf numFmtId="1" fontId="6" fillId="12" borderId="0" xfId="0" applyNumberFormat="1" applyFont="1" applyFill="1" applyBorder="1" applyAlignment="1">
      <alignment horizontal="right"/>
    </xf>
    <xf numFmtId="0" fontId="9" fillId="7" borderId="20" xfId="0" applyFont="1" applyFill="1" applyBorder="1" applyAlignment="1">
      <alignment horizontal="right"/>
    </xf>
    <xf numFmtId="169" fontId="9" fillId="0" borderId="0" xfId="0" applyNumberFormat="1" applyFont="1" applyAlignment="1">
      <alignment horizontal="right"/>
    </xf>
    <xf numFmtId="171" fontId="9" fillId="0" borderId="0" xfId="0" applyNumberFormat="1" applyFont="1" applyAlignment="1">
      <alignment horizontal="right"/>
    </xf>
    <xf numFmtId="0" fontId="9" fillId="13" borderId="3" xfId="0" applyFont="1" applyFill="1" applyBorder="1"/>
    <xf numFmtId="0" fontId="9" fillId="12" borderId="0" xfId="0" applyFont="1" applyFill="1" applyBorder="1" applyAlignment="1">
      <alignment horizontal="right"/>
    </xf>
    <xf numFmtId="0" fontId="9" fillId="13" borderId="0" xfId="0" applyFont="1" applyFill="1" applyBorder="1" applyAlignment="1">
      <alignment horizontal="right"/>
    </xf>
    <xf numFmtId="0" fontId="9" fillId="13" borderId="8" xfId="0" applyFont="1" applyFill="1" applyBorder="1" applyAlignment="1">
      <alignment horizontal="right"/>
    </xf>
    <xf numFmtId="0" fontId="9" fillId="7" borderId="28" xfId="0" applyFont="1" applyFill="1" applyBorder="1"/>
    <xf numFmtId="0" fontId="20" fillId="10" borderId="1" xfId="0" applyFont="1" applyFill="1" applyBorder="1"/>
    <xf numFmtId="0" fontId="6" fillId="10" borderId="6" xfId="0" applyFont="1" applyFill="1" applyBorder="1" applyAlignment="1">
      <alignment horizontal="left"/>
    </xf>
    <xf numFmtId="0" fontId="6" fillId="0" borderId="6" xfId="0" applyFont="1" applyFill="1" applyBorder="1" applyProtection="1">
      <protection locked="0"/>
    </xf>
    <xf numFmtId="0" fontId="6" fillId="10" borderId="6" xfId="0" applyFont="1" applyFill="1" applyBorder="1"/>
    <xf numFmtId="0" fontId="6" fillId="10" borderId="2" xfId="0" applyFont="1" applyFill="1" applyBorder="1"/>
    <xf numFmtId="0" fontId="6" fillId="10" borderId="3" xfId="0" applyFont="1" applyFill="1" applyBorder="1"/>
    <xf numFmtId="0" fontId="6" fillId="10" borderId="0" xfId="0" applyFont="1" applyFill="1" applyBorder="1" applyAlignment="1">
      <alignment horizontal="left"/>
    </xf>
    <xf numFmtId="0" fontId="6" fillId="0" borderId="0" xfId="0" applyFont="1" applyFill="1" applyBorder="1" applyProtection="1">
      <protection locked="0"/>
    </xf>
    <xf numFmtId="0" fontId="6" fillId="10" borderId="8" xfId="0" applyFont="1" applyFill="1" applyBorder="1"/>
    <xf numFmtId="0" fontId="6" fillId="10" borderId="4" xfId="0" applyFont="1" applyFill="1" applyBorder="1"/>
    <xf numFmtId="0" fontId="6" fillId="10" borderId="7" xfId="0" applyFont="1" applyFill="1" applyBorder="1" applyAlignment="1" applyProtection="1">
      <alignment horizontal="left"/>
    </xf>
    <xf numFmtId="0" fontId="6" fillId="10" borderId="7" xfId="0" applyFont="1" applyFill="1" applyBorder="1"/>
    <xf numFmtId="0" fontId="6" fillId="10" borderId="5" xfId="0" applyFont="1" applyFill="1" applyBorder="1"/>
    <xf numFmtId="0" fontId="6" fillId="10" borderId="0" xfId="0" applyFont="1" applyFill="1"/>
    <xf numFmtId="0" fontId="20" fillId="10" borderId="0" xfId="0" applyFont="1" applyFill="1" applyBorder="1"/>
    <xf numFmtId="0" fontId="20" fillId="10" borderId="4" xfId="0" applyFont="1" applyFill="1" applyBorder="1"/>
    <xf numFmtId="0" fontId="6" fillId="0" borderId="32" xfId="0" applyFont="1" applyFill="1" applyBorder="1" applyProtection="1">
      <protection locked="0"/>
    </xf>
    <xf numFmtId="0" fontId="6" fillId="0" borderId="29" xfId="0" applyFont="1" applyFill="1" applyBorder="1" applyProtection="1">
      <protection locked="0"/>
    </xf>
    <xf numFmtId="0" fontId="20" fillId="10" borderId="3" xfId="0" applyFont="1" applyFill="1" applyBorder="1"/>
    <xf numFmtId="0" fontId="6" fillId="0" borderId="30" xfId="0" applyFont="1" applyFill="1" applyBorder="1" applyProtection="1">
      <protection locked="0"/>
    </xf>
    <xf numFmtId="0" fontId="6" fillId="0" borderId="31" xfId="0" applyFont="1" applyFill="1" applyBorder="1" applyProtection="1">
      <protection locked="0"/>
    </xf>
    <xf numFmtId="0" fontId="6" fillId="10" borderId="0" xfId="0" applyFont="1" applyFill="1" applyBorder="1" applyAlignment="1" applyProtection="1">
      <alignment horizontal="left"/>
    </xf>
    <xf numFmtId="0" fontId="20" fillId="22" borderId="0" xfId="0" applyFont="1" applyFill="1"/>
    <xf numFmtId="0" fontId="6" fillId="22" borderId="0" xfId="0" applyFont="1" applyFill="1" applyProtection="1">
      <protection locked="0"/>
    </xf>
    <xf numFmtId="0" fontId="6" fillId="22" borderId="0" xfId="0" applyFont="1" applyFill="1"/>
    <xf numFmtId="0" fontId="20" fillId="22" borderId="1" xfId="0" applyFont="1" applyFill="1" applyBorder="1"/>
    <xf numFmtId="0" fontId="6" fillId="22" borderId="6" xfId="0" applyFont="1" applyFill="1" applyBorder="1"/>
    <xf numFmtId="0" fontId="6" fillId="0" borderId="32" xfId="0" applyFont="1" applyBorder="1" applyProtection="1">
      <protection locked="0"/>
    </xf>
    <xf numFmtId="0" fontId="6" fillId="22" borderId="2" xfId="0" applyFont="1" applyFill="1" applyBorder="1"/>
    <xf numFmtId="0" fontId="20" fillId="22" borderId="3" xfId="0" applyFont="1" applyFill="1" applyBorder="1"/>
    <xf numFmtId="0" fontId="6" fillId="22" borderId="8" xfId="0" applyFont="1" applyFill="1" applyBorder="1"/>
    <xf numFmtId="0" fontId="6" fillId="23" borderId="0" xfId="0" applyFont="1" applyFill="1" applyProtection="1">
      <protection locked="0"/>
    </xf>
    <xf numFmtId="0" fontId="20" fillId="22" borderId="4" xfId="0" applyFont="1" applyFill="1" applyBorder="1"/>
    <xf numFmtId="0" fontId="6" fillId="22" borderId="7" xfId="0" applyFont="1" applyFill="1" applyBorder="1" applyProtection="1">
      <protection locked="0"/>
    </xf>
    <xf numFmtId="0" fontId="6" fillId="22" borderId="7" xfId="0" applyFont="1" applyFill="1" applyBorder="1"/>
    <xf numFmtId="0" fontId="6" fillId="22" borderId="5" xfId="0" applyFont="1" applyFill="1" applyBorder="1"/>
    <xf numFmtId="0" fontId="19" fillId="17" borderId="0" xfId="0" applyFont="1" applyFill="1"/>
    <xf numFmtId="0" fontId="0" fillId="17" borderId="0" xfId="0" applyFill="1"/>
    <xf numFmtId="0" fontId="0" fillId="24" borderId="0" xfId="0" applyFill="1"/>
    <xf numFmtId="0" fontId="19" fillId="15" borderId="0" xfId="0" applyFont="1" applyFill="1"/>
    <xf numFmtId="0" fontId="6" fillId="15" borderId="0" xfId="0" applyFont="1" applyFill="1"/>
    <xf numFmtId="0" fontId="6" fillId="18" borderId="0" xfId="0" applyFont="1" applyFill="1"/>
    <xf numFmtId="0" fontId="20" fillId="15" borderId="9" xfId="0" applyFont="1" applyFill="1" applyBorder="1"/>
    <xf numFmtId="0" fontId="6" fillId="15" borderId="9" xfId="0" applyFont="1" applyFill="1" applyBorder="1"/>
    <xf numFmtId="0" fontId="20" fillId="18" borderId="6" xfId="0" applyFont="1" applyFill="1" applyBorder="1" applyAlignment="1">
      <alignment horizontal="center"/>
    </xf>
    <xf numFmtId="0" fontId="0" fillId="15" borderId="0" xfId="0" applyFill="1"/>
    <xf numFmtId="2" fontId="6" fillId="15" borderId="7" xfId="0" applyNumberFormat="1" applyFont="1" applyFill="1" applyBorder="1"/>
    <xf numFmtId="0" fontId="20" fillId="18" borderId="7" xfId="0" applyFont="1" applyFill="1" applyBorder="1" applyAlignment="1">
      <alignment horizontal="center"/>
    </xf>
    <xf numFmtId="0" fontId="20" fillId="17" borderId="0" xfId="0" applyFont="1" applyFill="1" applyBorder="1"/>
    <xf numFmtId="0" fontId="6" fillId="17" borderId="0" xfId="0" applyFont="1" applyFill="1" applyBorder="1"/>
    <xf numFmtId="0" fontId="20" fillId="17" borderId="0" xfId="0" applyFont="1" applyFill="1" applyBorder="1" applyAlignment="1">
      <alignment horizontal="center"/>
    </xf>
    <xf numFmtId="0" fontId="27" fillId="24" borderId="6" xfId="0" applyFont="1" applyFill="1" applyBorder="1"/>
    <xf numFmtId="0" fontId="27" fillId="24" borderId="6" xfId="0" applyFont="1" applyFill="1" applyBorder="1" applyAlignment="1">
      <alignment horizontal="right"/>
    </xf>
    <xf numFmtId="0" fontId="0" fillId="24" borderId="6" xfId="0" applyFill="1" applyBorder="1"/>
    <xf numFmtId="3" fontId="0" fillId="24" borderId="0" xfId="0" applyNumberFormat="1" applyFill="1"/>
    <xf numFmtId="0" fontId="0" fillId="24" borderId="7" xfId="0" applyFill="1" applyBorder="1"/>
    <xf numFmtId="3" fontId="0" fillId="24" borderId="7" xfId="0" applyNumberFormat="1" applyFill="1" applyBorder="1"/>
    <xf numFmtId="0" fontId="27" fillId="24" borderId="6" xfId="0" applyFont="1" applyFill="1" applyBorder="1" applyAlignment="1">
      <alignment horizontal="left"/>
    </xf>
    <xf numFmtId="0" fontId="0" fillId="24" borderId="6" xfId="0" applyFont="1" applyFill="1" applyBorder="1"/>
    <xf numFmtId="2" fontId="0" fillId="24" borderId="6" xfId="0" applyNumberFormat="1" applyFont="1" applyFill="1" applyBorder="1" applyAlignment="1">
      <alignment horizontal="right"/>
    </xf>
    <xf numFmtId="0" fontId="0" fillId="24" borderId="0" xfId="0" applyFill="1" applyBorder="1"/>
    <xf numFmtId="2" fontId="0" fillId="24" borderId="0" xfId="0" applyNumberFormat="1" applyFill="1" applyBorder="1"/>
    <xf numFmtId="2" fontId="0" fillId="24" borderId="0" xfId="0" applyNumberFormat="1" applyFill="1"/>
    <xf numFmtId="2" fontId="0" fillId="24" borderId="7" xfId="0" applyNumberFormat="1" applyFill="1" applyBorder="1"/>
    <xf numFmtId="1" fontId="6" fillId="10" borderId="1" xfId="0" applyNumberFormat="1" applyFont="1" applyFill="1" applyBorder="1"/>
    <xf numFmtId="0" fontId="19" fillId="10" borderId="6" xfId="0" applyFont="1" applyFill="1" applyBorder="1"/>
    <xf numFmtId="0" fontId="6" fillId="10" borderId="6" xfId="0" applyFont="1" applyFill="1" applyBorder="1" applyProtection="1">
      <protection locked="0"/>
    </xf>
    <xf numFmtId="0" fontId="19" fillId="10" borderId="3" xfId="0" applyFont="1" applyFill="1" applyBorder="1"/>
    <xf numFmtId="0" fontId="19" fillId="10" borderId="0" xfId="0" applyFont="1" applyFill="1" applyBorder="1"/>
    <xf numFmtId="0" fontId="6" fillId="10" borderId="0" xfId="0" applyFont="1" applyFill="1" applyBorder="1" applyProtection="1">
      <protection locked="0"/>
    </xf>
    <xf numFmtId="0" fontId="28" fillId="10" borderId="3" xfId="0" applyFont="1" applyFill="1" applyBorder="1"/>
    <xf numFmtId="0" fontId="15" fillId="0" borderId="6" xfId="0" applyFont="1" applyFill="1" applyBorder="1"/>
    <xf numFmtId="0" fontId="15" fillId="0" borderId="0" xfId="0" applyFont="1" applyFill="1" applyBorder="1"/>
    <xf numFmtId="0" fontId="12" fillId="2" borderId="0" xfId="0" applyFont="1" applyFill="1" applyBorder="1"/>
    <xf numFmtId="0" fontId="9" fillId="10" borderId="6" xfId="0" applyFont="1" applyFill="1" applyBorder="1"/>
    <xf numFmtId="0" fontId="9" fillId="10" borderId="0" xfId="0" applyFont="1" applyFill="1" applyBorder="1" applyProtection="1">
      <protection locked="0"/>
    </xf>
    <xf numFmtId="0" fontId="19" fillId="17" borderId="0" xfId="0" applyFont="1" applyFill="1" applyBorder="1"/>
    <xf numFmtId="0" fontId="29" fillId="17" borderId="0" xfId="0" applyFont="1" applyFill="1" applyBorder="1"/>
    <xf numFmtId="0" fontId="0" fillId="17" borderId="0" xfId="0" applyFill="1" applyBorder="1"/>
    <xf numFmtId="0" fontId="20" fillId="26" borderId="9" xfId="0" applyFont="1" applyFill="1" applyBorder="1"/>
    <xf numFmtId="0" fontId="20" fillId="27" borderId="9" xfId="0" applyFont="1" applyFill="1" applyBorder="1" applyAlignment="1">
      <alignment horizontal="center"/>
    </xf>
    <xf numFmtId="0" fontId="6" fillId="26" borderId="0" xfId="0" applyFont="1" applyFill="1" applyBorder="1"/>
    <xf numFmtId="0" fontId="6" fillId="27" borderId="0" xfId="0" applyFont="1" applyFill="1" applyBorder="1"/>
    <xf numFmtId="0" fontId="6" fillId="26" borderId="0" xfId="0" applyFont="1" applyFill="1" applyBorder="1" applyAlignment="1">
      <alignment horizontal="center"/>
    </xf>
    <xf numFmtId="0" fontId="6" fillId="26" borderId="0" xfId="0" applyFont="1" applyFill="1" applyBorder="1" applyAlignment="1">
      <alignment horizontal="right"/>
    </xf>
    <xf numFmtId="2" fontId="6" fillId="26" borderId="0" xfId="0" applyNumberFormat="1" applyFont="1" applyFill="1" applyBorder="1" applyAlignment="1">
      <alignment horizontal="center"/>
    </xf>
    <xf numFmtId="0" fontId="6" fillId="27" borderId="0" xfId="0" applyFont="1" applyFill="1" applyBorder="1" applyAlignment="1">
      <alignment horizontal="center"/>
    </xf>
    <xf numFmtId="0" fontId="20" fillId="27" borderId="0" xfId="0" applyFont="1" applyFill="1" applyBorder="1" applyAlignment="1">
      <alignment horizontal="center"/>
    </xf>
    <xf numFmtId="172" fontId="6" fillId="26" borderId="0" xfId="0" applyNumberFormat="1" applyFont="1" applyFill="1" applyBorder="1" applyAlignment="1">
      <alignment horizontal="center"/>
    </xf>
    <xf numFmtId="0" fontId="20" fillId="26" borderId="7" xfId="0" applyFont="1" applyFill="1" applyBorder="1"/>
    <xf numFmtId="2" fontId="20" fillId="26" borderId="7" xfId="0" applyNumberFormat="1" applyFont="1" applyFill="1" applyBorder="1" applyAlignment="1">
      <alignment horizontal="center"/>
    </xf>
    <xf numFmtId="0" fontId="20" fillId="26" borderId="7" xfId="0" applyFont="1" applyFill="1" applyBorder="1" applyAlignment="1">
      <alignment horizontal="right"/>
    </xf>
    <xf numFmtId="0" fontId="20" fillId="27" borderId="7" xfId="0" applyFont="1" applyFill="1" applyBorder="1"/>
    <xf numFmtId="0" fontId="20" fillId="26" borderId="9" xfId="0" applyFont="1" applyFill="1" applyBorder="1" applyAlignment="1">
      <alignment horizontal="right"/>
    </xf>
    <xf numFmtId="0" fontId="16" fillId="2" borderId="22" xfId="0" applyFont="1" applyFill="1" applyBorder="1" applyAlignment="1">
      <alignment horizontal="right"/>
    </xf>
    <xf numFmtId="0" fontId="7" fillId="10" borderId="9" xfId="0" applyFont="1" applyFill="1" applyBorder="1"/>
    <xf numFmtId="0" fontId="7" fillId="11" borderId="0" xfId="0" applyFont="1" applyFill="1" applyBorder="1" applyProtection="1"/>
    <xf numFmtId="0" fontId="7" fillId="11" borderId="8" xfId="0" applyFont="1" applyFill="1" applyBorder="1" applyAlignment="1" applyProtection="1">
      <alignment horizontal="right"/>
    </xf>
    <xf numFmtId="0" fontId="7" fillId="11" borderId="0" xfId="0" applyFont="1" applyFill="1" applyBorder="1" applyProtection="1">
      <protection locked="0"/>
    </xf>
    <xf numFmtId="166" fontId="7" fillId="11" borderId="0" xfId="0" applyNumberFormat="1" applyFont="1" applyFill="1" applyBorder="1" applyProtection="1"/>
    <xf numFmtId="0" fontId="7" fillId="11" borderId="8" xfId="0" applyFont="1" applyFill="1" applyBorder="1" applyAlignment="1">
      <alignment horizontal="right"/>
    </xf>
    <xf numFmtId="0" fontId="7" fillId="11" borderId="0" xfId="0" applyFont="1" applyFill="1" applyBorder="1" applyAlignment="1" applyProtection="1">
      <alignment horizontal="right"/>
    </xf>
    <xf numFmtId="0" fontId="11" fillId="10" borderId="8" xfId="0" applyFont="1" applyFill="1" applyBorder="1"/>
    <xf numFmtId="0" fontId="30" fillId="10" borderId="11" xfId="0" applyFont="1" applyFill="1" applyBorder="1" applyAlignment="1" applyProtection="1">
      <alignment vertical="center"/>
    </xf>
    <xf numFmtId="0" fontId="30" fillId="10" borderId="10" xfId="0" applyNumberFormat="1" applyFont="1" applyFill="1" applyBorder="1" applyAlignment="1" applyProtection="1">
      <alignment vertical="center"/>
    </xf>
    <xf numFmtId="0" fontId="7" fillId="10" borderId="1" xfId="0" applyFont="1" applyFill="1" applyBorder="1" applyAlignment="1" applyProtection="1">
      <alignment vertical="center"/>
    </xf>
    <xf numFmtId="4" fontId="7" fillId="10" borderId="2" xfId="1" applyNumberFormat="1" applyFont="1" applyFill="1" applyBorder="1" applyAlignment="1" applyProtection="1">
      <alignment vertical="center"/>
    </xf>
    <xf numFmtId="0" fontId="7" fillId="10" borderId="3" xfId="0" applyFont="1" applyFill="1" applyBorder="1" applyAlignment="1" applyProtection="1">
      <alignment vertical="center"/>
    </xf>
    <xf numFmtId="4" fontId="7" fillId="10" borderId="8" xfId="1" applyNumberFormat="1" applyFont="1" applyFill="1" applyBorder="1" applyAlignment="1" applyProtection="1">
      <alignment vertical="center"/>
    </xf>
    <xf numFmtId="0" fontId="7" fillId="10" borderId="4" xfId="0" applyFont="1" applyFill="1" applyBorder="1" applyAlignment="1" applyProtection="1">
      <alignment vertical="center"/>
    </xf>
    <xf numFmtId="0" fontId="11" fillId="11" borderId="11" xfId="0" applyFont="1" applyFill="1" applyBorder="1" applyAlignment="1">
      <alignment horizontal="left"/>
    </xf>
    <xf numFmtId="0" fontId="11" fillId="11" borderId="9" xfId="0" applyFont="1" applyFill="1" applyBorder="1" applyProtection="1">
      <protection locked="0"/>
    </xf>
    <xf numFmtId="0" fontId="20" fillId="28" borderId="9" xfId="0" applyFont="1" applyFill="1" applyBorder="1" applyAlignment="1"/>
    <xf numFmtId="0" fontId="20" fillId="28" borderId="9" xfId="0" applyFont="1" applyFill="1" applyBorder="1" applyAlignment="1">
      <alignment horizontal="center"/>
    </xf>
    <xf numFmtId="0" fontId="20" fillId="28" borderId="9" xfId="0" applyFont="1" applyFill="1" applyBorder="1" applyAlignment="1">
      <alignment horizontal="right"/>
    </xf>
    <xf numFmtId="0" fontId="20" fillId="29" borderId="9" xfId="0" applyFont="1" applyFill="1" applyBorder="1" applyAlignment="1">
      <alignment horizontal="center"/>
    </xf>
    <xf numFmtId="0" fontId="20" fillId="29" borderId="9" xfId="0" applyFont="1" applyFill="1" applyBorder="1"/>
    <xf numFmtId="0" fontId="6" fillId="28" borderId="0" xfId="0" applyFont="1" applyFill="1" applyBorder="1"/>
    <xf numFmtId="0" fontId="6" fillId="28" borderId="0" xfId="0" applyFont="1" applyFill="1" applyBorder="1" applyAlignment="1">
      <alignment horizontal="center"/>
    </xf>
    <xf numFmtId="0" fontId="6" fillId="29" borderId="0" xfId="0" applyFont="1" applyFill="1" applyBorder="1"/>
    <xf numFmtId="0" fontId="6" fillId="29" borderId="0" xfId="0" applyFont="1" applyFill="1" applyBorder="1" applyAlignment="1">
      <alignment horizontal="center"/>
    </xf>
    <xf numFmtId="0" fontId="6" fillId="28" borderId="0" xfId="0" applyFont="1" applyFill="1" applyBorder="1" applyAlignment="1"/>
    <xf numFmtId="0" fontId="6" fillId="28" borderId="0" xfId="0" applyFont="1" applyFill="1" applyBorder="1" applyAlignment="1">
      <alignment horizontal="right"/>
    </xf>
    <xf numFmtId="0" fontId="6" fillId="28" borderId="6" xfId="0" applyFont="1" applyFill="1" applyBorder="1" applyAlignment="1"/>
    <xf numFmtId="0" fontId="6" fillId="28" borderId="6" xfId="0" applyFont="1" applyFill="1" applyBorder="1" applyAlignment="1">
      <alignment horizontal="right"/>
    </xf>
    <xf numFmtId="0" fontId="6" fillId="28" borderId="7" xfId="0" applyFont="1" applyFill="1" applyBorder="1" applyAlignment="1"/>
    <xf numFmtId="0" fontId="6" fillId="28" borderId="7" xfId="0" applyFont="1" applyFill="1" applyBorder="1" applyAlignment="1">
      <alignment horizontal="right"/>
    </xf>
    <xf numFmtId="0" fontId="20" fillId="28" borderId="0" xfId="0" applyFont="1" applyFill="1" applyBorder="1"/>
    <xf numFmtId="2" fontId="6" fillId="28" borderId="0" xfId="0" applyNumberFormat="1" applyFont="1" applyFill="1" applyBorder="1" applyAlignment="1">
      <alignment horizontal="center"/>
    </xf>
    <xf numFmtId="2" fontId="20" fillId="28" borderId="0" xfId="0" applyNumberFormat="1" applyFont="1" applyFill="1" applyBorder="1" applyAlignment="1">
      <alignment horizontal="left"/>
    </xf>
    <xf numFmtId="0" fontId="20" fillId="29" borderId="0" xfId="0" applyFont="1" applyFill="1" applyBorder="1" applyAlignment="1">
      <alignment horizontal="center"/>
    </xf>
    <xf numFmtId="0" fontId="6" fillId="28" borderId="0" xfId="0" applyFont="1" applyFill="1" applyBorder="1" applyAlignment="1">
      <alignment horizontal="left"/>
    </xf>
    <xf numFmtId="2" fontId="6" fillId="28" borderId="0" xfId="0" applyNumberFormat="1" applyFont="1" applyFill="1" applyBorder="1" applyAlignment="1"/>
    <xf numFmtId="0" fontId="20" fillId="29" borderId="0" xfId="0" applyFont="1" applyFill="1" applyBorder="1" applyAlignment="1">
      <alignment horizontal="center" vertical="top" wrapText="1"/>
    </xf>
    <xf numFmtId="164" fontId="6" fillId="28" borderId="0" xfId="0" applyNumberFormat="1" applyFont="1" applyFill="1" applyBorder="1" applyAlignment="1">
      <alignment horizontal="center"/>
    </xf>
    <xf numFmtId="2" fontId="6" fillId="28" borderId="0" xfId="0" applyNumberFormat="1" applyFont="1" applyFill="1" applyBorder="1" applyAlignment="1">
      <alignment horizontal="right"/>
    </xf>
    <xf numFmtId="0" fontId="20" fillId="28" borderId="0" xfId="0" applyFont="1" applyFill="1" applyBorder="1" applyAlignment="1">
      <alignment horizontal="left"/>
    </xf>
    <xf numFmtId="172" fontId="6" fillId="28" borderId="0" xfId="0" applyNumberFormat="1" applyFont="1" applyFill="1" applyBorder="1" applyAlignment="1">
      <alignment horizontal="center"/>
    </xf>
    <xf numFmtId="0" fontId="20" fillId="28" borderId="7" xfId="0" applyFont="1" applyFill="1" applyBorder="1" applyAlignment="1">
      <alignment horizontal="left"/>
    </xf>
    <xf numFmtId="2" fontId="20" fillId="28" borderId="7" xfId="0" applyNumberFormat="1" applyFont="1" applyFill="1" applyBorder="1" applyAlignment="1">
      <alignment horizontal="center"/>
    </xf>
    <xf numFmtId="0" fontId="20" fillId="28" borderId="7" xfId="0" applyFont="1" applyFill="1" applyBorder="1" applyAlignment="1">
      <alignment horizontal="right"/>
    </xf>
    <xf numFmtId="0" fontId="6" fillId="29" borderId="7" xfId="0" applyFont="1" applyFill="1" applyBorder="1"/>
    <xf numFmtId="0" fontId="6" fillId="28" borderId="1" xfId="0" applyFont="1" applyFill="1" applyBorder="1" applyAlignment="1"/>
    <xf numFmtId="0" fontId="9" fillId="0" borderId="7" xfId="0" applyFont="1" applyFill="1" applyBorder="1" applyProtection="1">
      <protection locked="0"/>
    </xf>
    <xf numFmtId="0" fontId="6" fillId="28" borderId="6" xfId="0" applyFont="1" applyFill="1" applyBorder="1" applyAlignment="1">
      <alignment horizontal="center"/>
    </xf>
    <xf numFmtId="0" fontId="6" fillId="28" borderId="2" xfId="0" applyFont="1" applyFill="1" applyBorder="1" applyAlignment="1">
      <alignment horizontal="right"/>
    </xf>
    <xf numFmtId="0" fontId="6" fillId="28" borderId="3" xfId="0" applyFont="1" applyFill="1" applyBorder="1" applyAlignment="1"/>
    <xf numFmtId="0" fontId="6" fillId="28" borderId="8" xfId="0" applyFont="1" applyFill="1" applyBorder="1" applyAlignment="1">
      <alignment horizontal="right"/>
    </xf>
    <xf numFmtId="0" fontId="6" fillId="28" borderId="4" xfId="0" applyFont="1" applyFill="1" applyBorder="1" applyAlignment="1"/>
    <xf numFmtId="0" fontId="6" fillId="28" borderId="7" xfId="0" applyFont="1" applyFill="1" applyBorder="1" applyAlignment="1">
      <alignment horizontal="center"/>
    </xf>
    <xf numFmtId="0" fontId="6" fillId="28" borderId="5" xfId="0" applyFont="1" applyFill="1" applyBorder="1" applyAlignment="1">
      <alignment horizontal="right"/>
    </xf>
    <xf numFmtId="0" fontId="9" fillId="7" borderId="7" xfId="0" applyFont="1" applyFill="1" applyBorder="1"/>
    <xf numFmtId="0" fontId="9" fillId="7" borderId="7" xfId="0" applyFont="1" applyFill="1" applyBorder="1" applyAlignment="1"/>
    <xf numFmtId="167" fontId="9" fillId="7" borderId="7" xfId="0" applyNumberFormat="1" applyFont="1" applyFill="1" applyBorder="1"/>
    <xf numFmtId="0" fontId="13" fillId="8" borderId="7" xfId="0" applyFont="1" applyFill="1" applyBorder="1" applyAlignment="1">
      <alignment horizontal="center"/>
    </xf>
    <xf numFmtId="0" fontId="7" fillId="11" borderId="9" xfId="0" applyFont="1" applyFill="1" applyBorder="1" applyAlignment="1" applyProtection="1">
      <alignment horizontal="right"/>
      <protection locked="0"/>
    </xf>
    <xf numFmtId="0" fontId="6" fillId="0" borderId="1" xfId="0" applyFont="1" applyFill="1" applyBorder="1"/>
    <xf numFmtId="0" fontId="6" fillId="0" borderId="2" xfId="0" applyFont="1" applyFill="1" applyBorder="1"/>
    <xf numFmtId="0" fontId="6" fillId="0" borderId="8" xfId="0" applyFont="1" applyFill="1" applyBorder="1"/>
    <xf numFmtId="0" fontId="20" fillId="0" borderId="3" xfId="0" applyFont="1" applyFill="1" applyBorder="1"/>
    <xf numFmtId="1" fontId="6" fillId="0" borderId="0" xfId="0" applyNumberFormat="1" applyFont="1" applyFill="1" applyBorder="1"/>
    <xf numFmtId="1" fontId="6" fillId="0" borderId="3" xfId="0" applyNumberFormat="1" applyFont="1" applyFill="1" applyBorder="1"/>
    <xf numFmtId="0" fontId="6" fillId="0" borderId="4" xfId="0" applyFont="1" applyFill="1" applyBorder="1"/>
    <xf numFmtId="0" fontId="6" fillId="0" borderId="5" xfId="0" applyFont="1" applyFill="1" applyBorder="1"/>
    <xf numFmtId="4" fontId="30" fillId="10" borderId="10" xfId="1" applyNumberFormat="1" applyFont="1" applyFill="1" applyBorder="1" applyAlignment="1" applyProtection="1">
      <alignment vertical="center"/>
    </xf>
    <xf numFmtId="164" fontId="13" fillId="5" borderId="20" xfId="0" applyNumberFormat="1" applyFont="1" applyFill="1" applyBorder="1"/>
    <xf numFmtId="0" fontId="19" fillId="10" borderId="0" xfId="0" applyFont="1" applyFill="1" applyBorder="1" applyProtection="1"/>
    <xf numFmtId="0" fontId="6" fillId="10" borderId="0" xfId="0" applyFont="1" applyFill="1" applyBorder="1" applyProtection="1"/>
    <xf numFmtId="0" fontId="9" fillId="2" borderId="0" xfId="0" applyFont="1" applyFill="1" applyProtection="1"/>
    <xf numFmtId="166" fontId="9" fillId="2" borderId="20" xfId="0" applyNumberFormat="1" applyFont="1" applyFill="1" applyBorder="1" applyProtection="1"/>
    <xf numFmtId="0" fontId="9" fillId="25" borderId="6" xfId="0" applyFont="1" applyFill="1" applyBorder="1" applyProtection="1">
      <protection locked="0"/>
    </xf>
    <xf numFmtId="0" fontId="9" fillId="25" borderId="7" xfId="0" applyFont="1" applyFill="1" applyBorder="1" applyProtection="1">
      <protection locked="0"/>
    </xf>
    <xf numFmtId="0" fontId="6" fillId="0" borderId="7" xfId="0" applyFont="1" applyFill="1" applyBorder="1" applyProtection="1">
      <protection locked="0"/>
    </xf>
    <xf numFmtId="0" fontId="11" fillId="11" borderId="9" xfId="0" applyFont="1" applyFill="1" applyBorder="1" applyAlignment="1" applyProtection="1">
      <protection locked="0"/>
    </xf>
    <xf numFmtId="0" fontId="9" fillId="10" borderId="11" xfId="0" applyFont="1" applyFill="1" applyBorder="1" applyAlignment="1" applyProtection="1">
      <alignment horizontal="center"/>
      <protection locked="0"/>
    </xf>
    <xf numFmtId="0" fontId="9" fillId="10" borderId="10" xfId="0" applyFont="1" applyFill="1" applyBorder="1" applyAlignment="1" applyProtection="1">
      <alignment horizontal="center"/>
      <protection locked="0"/>
    </xf>
    <xf numFmtId="0" fontId="0" fillId="16" borderId="0" xfId="0" applyFill="1"/>
    <xf numFmtId="0" fontId="0" fillId="0" borderId="0" xfId="0"/>
    <xf numFmtId="0" fontId="6" fillId="0" borderId="0" xfId="242" applyFont="1"/>
    <xf numFmtId="0" fontId="20" fillId="0" borderId="0" xfId="242" applyFont="1"/>
    <xf numFmtId="0" fontId="20" fillId="0" borderId="0" xfId="242" applyFont="1" applyAlignment="1">
      <alignment horizontal="center"/>
    </xf>
    <xf numFmtId="0" fontId="33" fillId="0" borderId="0" xfId="242"/>
    <xf numFmtId="0" fontId="20" fillId="21" borderId="7" xfId="242" applyFont="1" applyFill="1" applyBorder="1"/>
    <xf numFmtId="0" fontId="20" fillId="21" borderId="7" xfId="242" applyFont="1" applyFill="1" applyBorder="1" applyAlignment="1">
      <alignment horizontal="center"/>
    </xf>
    <xf numFmtId="0" fontId="6" fillId="30" borderId="7" xfId="242" applyFont="1" applyFill="1" applyBorder="1" applyAlignment="1">
      <alignment horizontal="right"/>
    </xf>
    <xf numFmtId="0" fontId="6" fillId="30" borderId="7" xfId="242" applyFont="1" applyFill="1" applyBorder="1"/>
    <xf numFmtId="2" fontId="20" fillId="30" borderId="7" xfId="242" applyNumberFormat="1" applyFont="1" applyFill="1" applyBorder="1"/>
    <xf numFmtId="0" fontId="20" fillId="30" borderId="7" xfId="242" applyFont="1" applyFill="1" applyBorder="1"/>
    <xf numFmtId="0" fontId="20" fillId="21" borderId="0" xfId="242" applyFont="1" applyFill="1"/>
    <xf numFmtId="0" fontId="20" fillId="21" borderId="0" xfId="242" applyFont="1" applyFill="1" applyAlignment="1">
      <alignment horizontal="center"/>
    </xf>
    <xf numFmtId="0" fontId="6" fillId="30" borderId="0" xfId="242" applyFont="1" applyFill="1" applyAlignment="1">
      <alignment horizontal="right"/>
    </xf>
    <xf numFmtId="0" fontId="6" fillId="30" borderId="0" xfId="242" applyFont="1" applyFill="1"/>
    <xf numFmtId="2" fontId="6" fillId="30" borderId="0" xfId="242" applyNumberFormat="1" applyFont="1" applyFill="1"/>
    <xf numFmtId="0" fontId="20" fillId="30" borderId="0" xfId="242" applyFont="1" applyFill="1"/>
    <xf numFmtId="168" fontId="6" fillId="30" borderId="0" xfId="242" applyNumberFormat="1" applyFont="1" applyFill="1"/>
    <xf numFmtId="1" fontId="20" fillId="30" borderId="0" xfId="242" applyNumberFormat="1" applyFont="1" applyFill="1"/>
    <xf numFmtId="0" fontId="20" fillId="30" borderId="0" xfId="242" applyFont="1" applyFill="1" applyAlignment="1">
      <alignment horizontal="right"/>
    </xf>
    <xf numFmtId="168" fontId="6" fillId="30" borderId="7" xfId="242" applyNumberFormat="1" applyFont="1" applyFill="1" applyBorder="1"/>
    <xf numFmtId="1" fontId="6" fillId="30" borderId="7" xfId="242" applyNumberFormat="1" applyFont="1" applyFill="1" applyBorder="1"/>
    <xf numFmtId="1" fontId="6" fillId="30" borderId="0" xfId="242" applyNumberFormat="1" applyFont="1" applyFill="1"/>
    <xf numFmtId="0" fontId="20" fillId="30" borderId="0" xfId="242" applyFont="1" applyFill="1" applyAlignment="1">
      <alignment horizontal="center"/>
    </xf>
    <xf numFmtId="0" fontId="20" fillId="30" borderId="7" xfId="242" applyFont="1" applyFill="1" applyBorder="1" applyAlignment="1">
      <alignment horizontal="right"/>
    </xf>
    <xf numFmtId="175" fontId="20" fillId="30" borderId="7" xfId="242" applyNumberFormat="1" applyFont="1" applyFill="1" applyBorder="1" applyAlignment="1">
      <alignment horizontal="right"/>
    </xf>
    <xf numFmtId="0" fontId="6" fillId="0" borderId="7" xfId="242" applyFont="1" applyBorder="1"/>
    <xf numFmtId="1" fontId="20" fillId="30" borderId="7" xfId="242" applyNumberFormat="1" applyFont="1" applyFill="1" applyBorder="1"/>
    <xf numFmtId="0" fontId="6" fillId="30" borderId="5" xfId="242" applyFont="1" applyFill="1" applyBorder="1"/>
    <xf numFmtId="0" fontId="6" fillId="30" borderId="4" xfId="242" applyFont="1" applyFill="1" applyBorder="1" applyAlignment="1">
      <alignment horizontal="right"/>
    </xf>
    <xf numFmtId="0" fontId="6" fillId="30" borderId="8" xfId="242" applyFont="1" applyFill="1" applyBorder="1"/>
    <xf numFmtId="0" fontId="6" fillId="30" borderId="3" xfId="242" applyFont="1" applyFill="1" applyBorder="1" applyAlignment="1">
      <alignment horizontal="right"/>
    </xf>
    <xf numFmtId="0" fontId="20" fillId="30" borderId="2" xfId="242" applyFont="1" applyFill="1" applyBorder="1"/>
    <xf numFmtId="0" fontId="20" fillId="30" borderId="1" xfId="242" applyFont="1" applyFill="1" applyBorder="1"/>
    <xf numFmtId="0" fontId="34" fillId="30" borderId="0" xfId="242" applyFont="1" applyFill="1"/>
    <xf numFmtId="0" fontId="6" fillId="30" borderId="0" xfId="242" applyFont="1" applyFill="1" applyAlignment="1">
      <alignment horizontal="left"/>
    </xf>
    <xf numFmtId="0" fontId="6" fillId="30" borderId="7" xfId="242" applyFont="1" applyFill="1" applyBorder="1" applyAlignment="1">
      <alignment horizontal="left"/>
    </xf>
    <xf numFmtId="175" fontId="6" fillId="30" borderId="0" xfId="242" applyNumberFormat="1" applyFont="1" applyFill="1" applyAlignment="1">
      <alignment horizontal="right"/>
    </xf>
    <xf numFmtId="0" fontId="34" fillId="30" borderId="7" xfId="242" applyFont="1" applyFill="1" applyBorder="1"/>
    <xf numFmtId="167" fontId="6" fillId="31" borderId="0" xfId="242" applyNumberFormat="1" applyFont="1" applyFill="1"/>
    <xf numFmtId="0" fontId="6" fillId="31" borderId="0" xfId="242" applyFont="1" applyFill="1" applyAlignment="1">
      <alignment horizontal="right"/>
    </xf>
    <xf numFmtId="0" fontId="20" fillId="31" borderId="0" xfId="242" applyFont="1" applyFill="1" applyAlignment="1">
      <alignment horizontal="left"/>
    </xf>
    <xf numFmtId="173" fontId="6" fillId="30" borderId="7" xfId="242" applyNumberFormat="1" applyFont="1" applyFill="1" applyBorder="1"/>
    <xf numFmtId="173" fontId="6" fillId="30" borderId="0" xfId="242" applyNumberFormat="1" applyFont="1" applyFill="1"/>
    <xf numFmtId="0" fontId="6" fillId="30" borderId="9" xfId="242" applyFont="1" applyFill="1" applyBorder="1"/>
    <xf numFmtId="176" fontId="35" fillId="30" borderId="0" xfId="242" applyNumberFormat="1" applyFont="1" applyFill="1"/>
    <xf numFmtId="177" fontId="6" fillId="30" borderId="7" xfId="242" applyNumberFormat="1" applyFont="1" applyFill="1" applyBorder="1"/>
    <xf numFmtId="0" fontId="6" fillId="30" borderId="4" xfId="242" applyFont="1" applyFill="1" applyBorder="1"/>
    <xf numFmtId="177" fontId="6" fillId="30" borderId="0" xfId="242" applyNumberFormat="1" applyFont="1" applyFill="1"/>
    <xf numFmtId="0" fontId="6" fillId="30" borderId="3" xfId="242" applyFont="1" applyFill="1" applyBorder="1"/>
    <xf numFmtId="0" fontId="20" fillId="30" borderId="3" xfId="242" applyFont="1" applyFill="1" applyBorder="1"/>
    <xf numFmtId="177" fontId="6" fillId="30" borderId="5" xfId="242" applyNumberFormat="1" applyFont="1" applyFill="1" applyBorder="1"/>
    <xf numFmtId="177" fontId="6" fillId="30" borderId="8" xfId="242" applyNumberFormat="1" applyFont="1" applyFill="1" applyBorder="1"/>
    <xf numFmtId="177" fontId="6" fillId="30" borderId="2" xfId="242" applyNumberFormat="1" applyFont="1" applyFill="1" applyBorder="1"/>
    <xf numFmtId="177" fontId="6" fillId="30" borderId="6" xfId="242" applyNumberFormat="1" applyFont="1" applyFill="1" applyBorder="1"/>
    <xf numFmtId="0" fontId="6" fillId="30" borderId="6" xfId="242" applyFont="1" applyFill="1" applyBorder="1"/>
    <xf numFmtId="0" fontId="20" fillId="21" borderId="0" xfId="242" applyFont="1" applyFill="1" applyAlignment="1">
      <alignment horizontal="left"/>
    </xf>
    <xf numFmtId="0" fontId="6" fillId="30" borderId="2" xfId="242" applyFont="1" applyFill="1" applyBorder="1"/>
    <xf numFmtId="2" fontId="20" fillId="30" borderId="0" xfId="242" applyNumberFormat="1" applyFont="1" applyFill="1"/>
    <xf numFmtId="0" fontId="20" fillId="31" borderId="7" xfId="242" applyFont="1" applyFill="1" applyBorder="1"/>
    <xf numFmtId="0" fontId="20" fillId="31" borderId="0" xfId="242" applyFont="1" applyFill="1"/>
    <xf numFmtId="2" fontId="6" fillId="30" borderId="7" xfId="242" applyNumberFormat="1" applyFont="1" applyFill="1" applyBorder="1"/>
    <xf numFmtId="175" fontId="6" fillId="30" borderId="0" xfId="242" applyNumberFormat="1" applyFont="1" applyFill="1"/>
    <xf numFmtId="175" fontId="6" fillId="30" borderId="7" xfId="242" applyNumberFormat="1" applyFont="1" applyFill="1" applyBorder="1"/>
    <xf numFmtId="166" fontId="6" fillId="30" borderId="0" xfId="242" applyNumberFormat="1" applyFont="1" applyFill="1"/>
    <xf numFmtId="0" fontId="20" fillId="21" borderId="0" xfId="242" applyFont="1" applyFill="1" applyAlignment="1">
      <alignment horizontal="center" vertical="top" wrapText="1"/>
    </xf>
    <xf numFmtId="0" fontId="20" fillId="30" borderId="4" xfId="242" applyFont="1" applyFill="1" applyBorder="1"/>
    <xf numFmtId="0" fontId="20" fillId="30" borderId="10" xfId="242" applyFont="1" applyFill="1" applyBorder="1" applyAlignment="1">
      <alignment horizontal="center"/>
    </xf>
    <xf numFmtId="0" fontId="20" fillId="30" borderId="9" xfId="242" applyFont="1" applyFill="1" applyBorder="1"/>
    <xf numFmtId="0" fontId="20" fillId="30" borderId="11" xfId="242" applyFont="1" applyFill="1" applyBorder="1"/>
    <xf numFmtId="0" fontId="6" fillId="30" borderId="31" xfId="242" applyFont="1" applyFill="1" applyBorder="1"/>
    <xf numFmtId="164" fontId="6" fillId="30" borderId="5" xfId="242" applyNumberFormat="1" applyFont="1" applyFill="1" applyBorder="1"/>
    <xf numFmtId="0" fontId="6" fillId="30" borderId="30" xfId="242" applyFont="1" applyFill="1" applyBorder="1"/>
    <xf numFmtId="0" fontId="6" fillId="30" borderId="8" xfId="242" applyFont="1" applyFill="1" applyBorder="1" applyAlignment="1">
      <alignment horizontal="right"/>
    </xf>
    <xf numFmtId="164" fontId="6" fillId="30" borderId="8" xfId="242" applyNumberFormat="1" applyFont="1" applyFill="1" applyBorder="1"/>
    <xf numFmtId="0" fontId="20" fillId="30" borderId="32" xfId="242" applyFont="1" applyFill="1" applyBorder="1" applyAlignment="1">
      <alignment horizontal="right" vertical="top" wrapText="1"/>
    </xf>
    <xf numFmtId="2" fontId="6" fillId="30" borderId="9" xfId="242" applyNumberFormat="1" applyFont="1" applyFill="1" applyBorder="1"/>
    <xf numFmtId="0" fontId="20" fillId="30" borderId="11" xfId="242" applyFont="1" applyFill="1" applyBorder="1" applyAlignment="1">
      <alignment vertical="top"/>
    </xf>
    <xf numFmtId="0" fontId="20" fillId="30" borderId="10" xfId="242" applyFont="1" applyFill="1" applyBorder="1" applyAlignment="1">
      <alignment wrapText="1"/>
    </xf>
    <xf numFmtId="2" fontId="6" fillId="30" borderId="29" xfId="242" applyNumberFormat="1" applyFont="1" applyFill="1" applyBorder="1"/>
    <xf numFmtId="0" fontId="6" fillId="30" borderId="1" xfId="242" applyFont="1" applyFill="1" applyBorder="1"/>
    <xf numFmtId="0" fontId="20" fillId="30" borderId="2" xfId="242" applyFont="1" applyFill="1" applyBorder="1" applyAlignment="1">
      <alignment vertical="top"/>
    </xf>
    <xf numFmtId="0" fontId="20" fillId="30" borderId="10" xfId="242" applyFont="1" applyFill="1" applyBorder="1" applyAlignment="1">
      <alignment vertical="top"/>
    </xf>
    <xf numFmtId="2" fontId="6" fillId="30" borderId="9" xfId="242" applyNumberFormat="1" applyFont="1" applyFill="1" applyBorder="1" applyAlignment="1">
      <alignment vertical="top"/>
    </xf>
    <xf numFmtId="0" fontId="6" fillId="30" borderId="9" xfId="242" applyFont="1" applyFill="1" applyBorder="1" applyAlignment="1">
      <alignment vertical="top"/>
    </xf>
    <xf numFmtId="0" fontId="36" fillId="30" borderId="0" xfId="242" applyFont="1" applyFill="1"/>
    <xf numFmtId="0" fontId="28" fillId="0" borderId="0" xfId="242" applyFont="1"/>
    <xf numFmtId="0" fontId="19" fillId="0" borderId="0" xfId="242" applyFont="1"/>
  </cellXfs>
  <cellStyles count="243">
    <cellStyle name="Comma" xfId="1" builtinId="3" customBuilti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Graphics" xfId="2" xr:uid="{00000000-0005-0000-0000-000090000000}"/>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Normal" xfId="0" builtinId="0" customBuiltin="1"/>
    <cellStyle name="Normal 2" xfId="242" xr:uid="{1306B848-1FA1-4832-AC3C-F562B00A75F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3.4437093401166477E-2"/>
          <c:y val="0.1304814795501556"/>
          <c:w val="0.535668352714189"/>
          <c:h val="0.45646682426547702"/>
        </c:manualLayout>
      </c:layout>
      <c:pieChart>
        <c:varyColors val="1"/>
        <c:ser>
          <c:idx val="0"/>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'Data summary'!$K$4:$K$16</c:f>
              <c:strCache>
                <c:ptCount val="13"/>
                <c:pt idx="0">
                  <c:v>CO2 - Energy</c:v>
                </c:pt>
                <c:pt idx="1">
                  <c:v>CO2 - Transport</c:v>
                </c:pt>
                <c:pt idx="2">
                  <c:v>CO2 - Lime</c:v>
                </c:pt>
                <c:pt idx="3">
                  <c:v>CO2 - Urea Application</c:v>
                </c:pt>
                <c:pt idx="4">
                  <c:v>CH4 - Enteric </c:v>
                </c:pt>
                <c:pt idx="5">
                  <c:v>CH4 - Manure</c:v>
                </c:pt>
                <c:pt idx="6">
                  <c:v>CH4 - Energy</c:v>
                </c:pt>
                <c:pt idx="7">
                  <c:v>N2O - Fertiliser</c:v>
                </c:pt>
                <c:pt idx="8">
                  <c:v>N2O - Urine and Dung</c:v>
                </c:pt>
                <c:pt idx="9">
                  <c:v>N2O - Atmospheric deposition</c:v>
                </c:pt>
                <c:pt idx="10">
                  <c:v>N2O - Leaching and Runoff</c:v>
                </c:pt>
                <c:pt idx="11">
                  <c:v>N2O - Energy</c:v>
                </c:pt>
                <c:pt idx="12">
                  <c:v>N2O - Transport</c:v>
                </c:pt>
              </c:strCache>
            </c:strRef>
          </c:cat>
          <c:val>
            <c:numRef>
              <c:f>'Data summary'!$L$4:$L$16</c:f>
              <c:numCache>
                <c:formatCode>#,##0.00</c:formatCode>
                <c:ptCount val="13"/>
                <c:pt idx="0">
                  <c:v>8.0944200000000013</c:v>
                </c:pt>
                <c:pt idx="1">
                  <c:v>0</c:v>
                </c:pt>
                <c:pt idx="2">
                  <c:v>2.0652500000000003</c:v>
                </c:pt>
                <c:pt idx="3">
                  <c:v>7.333333333333333</c:v>
                </c:pt>
                <c:pt idx="4">
                  <c:v>571.72240689837633</c:v>
                </c:pt>
                <c:pt idx="5">
                  <c:v>0.14428038557252879</c:v>
                </c:pt>
                <c:pt idx="6">
                  <c:v>1.1580000000000002E-2</c:v>
                </c:pt>
                <c:pt idx="7">
                  <c:v>4.6828571428571433</c:v>
                </c:pt>
                <c:pt idx="8">
                  <c:v>35.884858892849401</c:v>
                </c:pt>
                <c:pt idx="9">
                  <c:v>4.0567716035706551</c:v>
                </c:pt>
                <c:pt idx="10">
                  <c:v>25.453447412942072</c:v>
                </c:pt>
                <c:pt idx="11">
                  <c:v>2.3160000000000004E-2</c:v>
                </c:pt>
                <c:pt idx="12">
                  <c:v>0</c:v>
                </c:pt>
              </c:numCache>
            </c:numRef>
          </c:val>
          <c:extLst>
            <c:ext xmlns:c16="http://schemas.microsoft.com/office/drawing/2014/chart" uri="{C3380CC4-5D6E-409C-BE32-E72D297353CC}">
              <c16:uniqueId val="{00000000-5FAC-4828-9F43-ABC901F22F2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335047191948697"/>
          <c:y val="1.9198734469703702E-2"/>
          <c:w val="0.39545747510038098"/>
          <c:h val="0.96837454008993795"/>
        </c:manualLayout>
      </c:layout>
      <c:overlay val="0"/>
    </c:legend>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pieChart>
        <c:varyColors val="1"/>
        <c:ser>
          <c:idx val="0"/>
          <c:order val="0"/>
          <c:dLbls>
            <c:spPr>
              <a:solidFill>
                <a:sysClr val="window" lastClr="FFFFFF"/>
              </a:solid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'Data summary'!$M$4:$M$6</c:f>
              <c:strCache>
                <c:ptCount val="3"/>
                <c:pt idx="0">
                  <c:v>CO2</c:v>
                </c:pt>
                <c:pt idx="1">
                  <c:v>CH4</c:v>
                </c:pt>
                <c:pt idx="2">
                  <c:v>N2O</c:v>
                </c:pt>
              </c:strCache>
            </c:strRef>
          </c:cat>
          <c:val>
            <c:numRef>
              <c:f>'Data summary'!$N$4:$N$6</c:f>
              <c:numCache>
                <c:formatCode>" "#,##0" ";"-"#,##0" ";" -"00" ";" "@" "</c:formatCode>
                <c:ptCount val="3"/>
                <c:pt idx="0">
                  <c:v>17.493003333333334</c:v>
                </c:pt>
                <c:pt idx="1">
                  <c:v>571.87826728394884</c:v>
                </c:pt>
                <c:pt idx="2">
                  <c:v>70.101095052219279</c:v>
                </c:pt>
              </c:numCache>
            </c:numRef>
          </c:val>
          <c:extLst>
            <c:ext xmlns:c16="http://schemas.microsoft.com/office/drawing/2014/chart" uri="{C3380CC4-5D6E-409C-BE32-E72D297353CC}">
              <c16:uniqueId val="{00000000-2FBF-48DE-B555-4AE29F66FFA8}"/>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spPr>
    <a:ln>
      <a:noFill/>
    </a:ln>
  </c:spPr>
  <c:printSettings>
    <c:headerFooter/>
    <c:pageMargins b="1" l="0.75" r="0.75" t="1" header="0.5" footer="0.5"/>
    <c:pageSetup/>
  </c:printSettings>
</c:chartSpace>
</file>

<file path=xl/ctrlProps/ctrlProp1.xml><?xml version="1.0" encoding="utf-8"?>
<formControlPr xmlns="http://schemas.microsoft.com/office/spreadsheetml/2009/9/main" objectType="Drop" dropLines="85" dropStyle="combo" dx="16" fmlaLink="$D$98" fmlaRange="'Electicity &amp; Diesel'!$L$16:$L$17" sel="2" val="0"/>
</file>

<file path=xl/ctrlProps/ctrlProp2.xml><?xml version="1.0" encoding="utf-8"?>
<formControlPr xmlns="http://schemas.microsoft.com/office/spreadsheetml/2009/9/main" objectType="Drop" dropLines="85" dropStyle="combo" dx="16" fmlaLink="$D$107" fmlaRange="Transport!$D$7:$D$9" sel="3" val="0"/>
</file>

<file path=xl/ctrlProps/ctrlProp3.xml><?xml version="1.0" encoding="utf-8"?>
<formControlPr xmlns="http://schemas.microsoft.com/office/spreadsheetml/2009/9/main" objectType="Drop" dropLines="85" dropStyle="combo" dx="16" fmlaLink="$E$3" fmlaRange="'Electicity &amp; Diesel'!$L$4:$L$12" sel="6" val="0"/>
</file>

<file path=xl/ctrlProps/ctrlProp4.xml><?xml version="1.0" encoding="utf-8"?>
<formControlPr xmlns="http://schemas.microsoft.com/office/spreadsheetml/2009/9/main" objectType="Drop" dropLines="85" dropStyle="combo" dx="16" fmlaLink="$E$5" fmlaRange="'Agricultural soils'!$E$182:$E$183" sel="2" val="0"/>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901700</xdr:colOff>
      <xdr:row>18</xdr:row>
      <xdr:rowOff>30163</xdr:rowOff>
    </xdr:from>
    <xdr:to>
      <xdr:col>13</xdr:col>
      <xdr:colOff>898525</xdr:colOff>
      <xdr:row>54</xdr:row>
      <xdr:rowOff>2363788</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139700</xdr:colOff>
      <xdr:row>6</xdr:row>
      <xdr:rowOff>69850</xdr:rowOff>
    </xdr:from>
    <xdr:to>
      <xdr:col>13</xdr:col>
      <xdr:colOff>965200</xdr:colOff>
      <xdr:row>16</xdr:row>
      <xdr:rowOff>165100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26</xdr:row>
      <xdr:rowOff>142875</xdr:rowOff>
    </xdr:from>
    <xdr:ext cx="5153026" cy="809625"/>
    <xdr:sp macro="" textlink="">
      <xdr:nvSpPr>
        <xdr:cNvPr id="7" name="AutoShape 42">
          <a:extLst>
            <a:ext uri="{FF2B5EF4-FFF2-40B4-BE49-F238E27FC236}">
              <a16:creationId xmlns:a16="http://schemas.microsoft.com/office/drawing/2014/main" id="{00000000-0008-0000-0000-000007000000}"/>
            </a:ext>
          </a:extLst>
        </xdr:cNvPr>
        <xdr:cNvSpPr/>
      </xdr:nvSpPr>
      <xdr:spPr>
        <a:xfrm flipH="1">
          <a:off x="114300" y="6048375"/>
          <a:ext cx="5153026" cy="809625"/>
        </a:xfrm>
        <a:custGeom>
          <a:avLst>
            <a:gd name="f0" fmla="val 3600"/>
          </a:avLst>
          <a:gdLst>
            <a:gd name="f1" fmla="val 10800000"/>
            <a:gd name="f2" fmla="val 5400000"/>
            <a:gd name="f3" fmla="val 16200000"/>
            <a:gd name="f4" fmla="val w"/>
            <a:gd name="f5" fmla="val h"/>
            <a:gd name="f6" fmla="val ss"/>
            <a:gd name="f7" fmla="val 0"/>
            <a:gd name="f8" fmla="*/ 5419351 1 1725033"/>
            <a:gd name="f9" fmla="val 45"/>
            <a:gd name="f10" fmla="val 10800"/>
            <a:gd name="f11" fmla="val -2147483647"/>
            <a:gd name="f12" fmla="val 2147483647"/>
            <a:gd name="f13" fmla="abs f4"/>
            <a:gd name="f14" fmla="abs f5"/>
            <a:gd name="f15" fmla="abs f6"/>
            <a:gd name="f16" fmla="*/ f8 1 180"/>
            <a:gd name="f17" fmla="pin 0 f0 10800"/>
            <a:gd name="f18" fmla="+- 0 0 f2"/>
            <a:gd name="f19" fmla="?: f13 f4 1"/>
            <a:gd name="f20" fmla="?: f14 f5 1"/>
            <a:gd name="f21" fmla="?: f15 f6 1"/>
            <a:gd name="f22" fmla="*/ f9 f16 1"/>
            <a:gd name="f23" fmla="+- f7 f17 0"/>
            <a:gd name="f24" fmla="*/ f19 1 21600"/>
            <a:gd name="f25" fmla="*/ f20 1 21600"/>
            <a:gd name="f26" fmla="*/ 21600 f19 1"/>
            <a:gd name="f27" fmla="*/ 21600 f20 1"/>
            <a:gd name="f28" fmla="+- 0 0 f22"/>
            <a:gd name="f29" fmla="min f25 f24"/>
            <a:gd name="f30" fmla="*/ f26 1 f21"/>
            <a:gd name="f31" fmla="*/ f27 1 f21"/>
            <a:gd name="f32" fmla="*/ f28 f1 1"/>
            <a:gd name="f33" fmla="*/ f32 1 f8"/>
            <a:gd name="f34" fmla="+- f31 0 f17"/>
            <a:gd name="f35" fmla="+- f30 0 f17"/>
            <a:gd name="f36" fmla="*/ f17 f29 1"/>
            <a:gd name="f37" fmla="*/ f7 f29 1"/>
            <a:gd name="f38" fmla="*/ f23 f29 1"/>
            <a:gd name="f39" fmla="*/ f31 f29 1"/>
            <a:gd name="f40" fmla="*/ f30 f29 1"/>
            <a:gd name="f41" fmla="+- f33 0 f2"/>
            <a:gd name="f42" fmla="+- f37 0 f38"/>
            <a:gd name="f43" fmla="+- f38 0 f37"/>
            <a:gd name="f44" fmla="*/ f34 f29 1"/>
            <a:gd name="f45" fmla="*/ f35 f29 1"/>
            <a:gd name="f46" fmla="cos 1 f41"/>
            <a:gd name="f47" fmla="abs f42"/>
            <a:gd name="f48" fmla="abs f43"/>
            <a:gd name="f49" fmla="?: f42 f18 f2"/>
            <a:gd name="f50" fmla="?: f42 f2 f18"/>
            <a:gd name="f51" fmla="?: f42 f3 f2"/>
            <a:gd name="f52" fmla="?: f42 f2 f3"/>
            <a:gd name="f53" fmla="+- f39 0 f44"/>
            <a:gd name="f54" fmla="?: f43 f18 f2"/>
            <a:gd name="f55" fmla="?: f43 f2 f18"/>
            <a:gd name="f56" fmla="+- f40 0 f45"/>
            <a:gd name="f57" fmla="+- f44 0 f39"/>
            <a:gd name="f58" fmla="+- f45 0 f40"/>
            <a:gd name="f59" fmla="?: f42 0 f1"/>
            <a:gd name="f60" fmla="?: f42 f1 0"/>
            <a:gd name="f61" fmla="+- 0 0 f46"/>
            <a:gd name="f62" fmla="?: f42 f52 f51"/>
            <a:gd name="f63" fmla="?: f42 f51 f52"/>
            <a:gd name="f64" fmla="?: f43 f50 f49"/>
            <a:gd name="f65" fmla="abs f53"/>
            <a:gd name="f66" fmla="?: f53 0 f1"/>
            <a:gd name="f67" fmla="?: f53 f1 0"/>
            <a:gd name="f68" fmla="?: f53 f54 f55"/>
            <a:gd name="f69" fmla="abs f56"/>
            <a:gd name="f70" fmla="abs f57"/>
            <a:gd name="f71" fmla="?: f56 f18 f2"/>
            <a:gd name="f72" fmla="?: f56 f2 f18"/>
            <a:gd name="f73" fmla="?: f56 f3 f2"/>
            <a:gd name="f74" fmla="?: f56 f2 f3"/>
            <a:gd name="f75" fmla="abs f58"/>
            <a:gd name="f76" fmla="?: f58 f18 f2"/>
            <a:gd name="f77" fmla="?: f58 f2 f18"/>
            <a:gd name="f78" fmla="?: f58 f60 f59"/>
            <a:gd name="f79" fmla="?: f58 f59 f60"/>
            <a:gd name="f80" fmla="*/ f17 f61 1"/>
            <a:gd name="f81" fmla="?: f43 f63 f62"/>
            <a:gd name="f82" fmla="?: f43 f67 f66"/>
            <a:gd name="f83" fmla="?: f43 f66 f67"/>
            <a:gd name="f84" fmla="?: f56 f74 f73"/>
            <a:gd name="f85" fmla="?: f56 f73 f74"/>
            <a:gd name="f86" fmla="?: f57 f72 f71"/>
            <a:gd name="f87" fmla="?: f42 f78 f79"/>
            <a:gd name="f88" fmla="?: f42 f76 f77"/>
            <a:gd name="f89" fmla="*/ f80 3163 1"/>
            <a:gd name="f90" fmla="?: f53 f82 f83"/>
            <a:gd name="f91" fmla="?: f57 f85 f84"/>
            <a:gd name="f92" fmla="*/ f89 1 7636"/>
            <a:gd name="f93" fmla="+- f7 f92 0"/>
            <a:gd name="f94" fmla="+- f30 0 f92"/>
            <a:gd name="f95" fmla="+- f31 0 f92"/>
            <a:gd name="f96" fmla="*/ f93 f29 1"/>
            <a:gd name="f97" fmla="*/ f94 f29 1"/>
            <a:gd name="f98" fmla="*/ f95 f29 1"/>
          </a:gdLst>
          <a:ahLst>
            <a:ahXY gdRefX="f0" minX="f7" maxX="f10">
              <a:pos x="f36" y="f37"/>
            </a:ahXY>
          </a:ahLst>
          <a:cxnLst>
            <a:cxn ang="3cd4">
              <a:pos x="hc" y="t"/>
            </a:cxn>
            <a:cxn ang="0">
              <a:pos x="r" y="vc"/>
            </a:cxn>
            <a:cxn ang="cd4">
              <a:pos x="hc" y="b"/>
            </a:cxn>
            <a:cxn ang="cd2">
              <a:pos x="l" y="vc"/>
            </a:cxn>
          </a:cxnLst>
          <a:rect l="f96" t="f96" r="f97" b="f98"/>
          <a:pathLst>
            <a:path>
              <a:moveTo>
                <a:pt x="f38" y="f37"/>
              </a:moveTo>
              <a:arcTo wR="f47" hR="f48" stAng="f81" swAng="f64"/>
              <a:lnTo>
                <a:pt x="f37" y="f44"/>
              </a:lnTo>
              <a:arcTo wR="f48" hR="f65" stAng="f90" swAng="f68"/>
              <a:lnTo>
                <a:pt x="f45" y="f39"/>
              </a:lnTo>
              <a:arcTo wR="f69" hR="f70" stAng="f91" swAng="f86"/>
              <a:lnTo>
                <a:pt x="f40" y="f38"/>
              </a:lnTo>
              <a:arcTo wR="f75" hR="f47" stAng="f87" swAng="f88"/>
              <a:close/>
            </a:path>
          </a:pathLst>
        </a:custGeom>
        <a:ln/>
        <a:effectLst>
          <a:innerShdw blurRad="63500" dist="50800" dir="2700000">
            <a:prstClr val="black">
              <a:alpha val="50000"/>
            </a:prstClr>
          </a:innerShdw>
        </a:effectLst>
      </xdr:spPr>
      <xdr:style>
        <a:lnRef idx="1">
          <a:schemeClr val="accent4"/>
        </a:lnRef>
        <a:fillRef idx="2">
          <a:schemeClr val="accent4"/>
        </a:fillRef>
        <a:effectRef idx="1">
          <a:schemeClr val="accent4"/>
        </a:effectRef>
        <a:fontRef idx="minor">
          <a:schemeClr val="dk1"/>
        </a:fontRef>
      </xdr:style>
      <xdr:txBody>
        <a:bodyPr vert="horz" wrap="square" lIns="27432" tIns="22860" rIns="0" bIns="0" anchor="t" anchorCtr="1" compatLnSpc="0"/>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AU" sz="1200" b="0" i="0" u="none" strike="noStrike" kern="0" cap="none" spc="0" baseline="0">
              <a:solidFill>
                <a:srgbClr val="000000"/>
              </a:solidFill>
              <a:uFillTx/>
              <a:latin typeface="Times New Roman" pitchFamily="18"/>
              <a:cs typeface="Times New Roman" pitchFamily="18"/>
            </a:rPr>
            <a:t>Citation: </a:t>
          </a:r>
        </a:p>
        <a:p>
          <a:r>
            <a:rPr lang="en-AU" sz="1100">
              <a:solidFill>
                <a:schemeClr val="dk1"/>
              </a:solidFill>
              <a:effectLst/>
              <a:latin typeface="+mn-lt"/>
              <a:ea typeface="+mn-ea"/>
              <a:cs typeface="+mn-cs"/>
            </a:rPr>
            <a:t>Eckard R.J. (2020). A </a:t>
          </a:r>
          <a:r>
            <a:rPr lang="en-AU" sz="1100" b="1">
              <a:solidFill>
                <a:schemeClr val="dk1"/>
              </a:solidFill>
              <a:effectLst/>
              <a:latin typeface="+mn-lt"/>
              <a:ea typeface="+mn-ea"/>
              <a:cs typeface="+mn-cs"/>
            </a:rPr>
            <a:t>G</a:t>
          </a:r>
          <a:r>
            <a:rPr lang="en-AU" sz="1100">
              <a:solidFill>
                <a:schemeClr val="dk1"/>
              </a:solidFill>
              <a:effectLst/>
              <a:latin typeface="+mn-lt"/>
              <a:ea typeface="+mn-ea"/>
              <a:cs typeface="+mn-cs"/>
            </a:rPr>
            <a:t>reenhouse </a:t>
          </a:r>
          <a:r>
            <a:rPr lang="en-AU" sz="1100" b="1">
              <a:solidFill>
                <a:schemeClr val="dk1"/>
              </a:solidFill>
              <a:effectLst/>
              <a:latin typeface="+mn-lt"/>
              <a:ea typeface="+mn-ea"/>
              <a:cs typeface="+mn-cs"/>
            </a:rPr>
            <a:t>A</a:t>
          </a:r>
          <a:r>
            <a:rPr lang="en-AU" sz="1100">
              <a:solidFill>
                <a:schemeClr val="dk1"/>
              </a:solidFill>
              <a:effectLst/>
              <a:latin typeface="+mn-lt"/>
              <a:ea typeface="+mn-ea"/>
              <a:cs typeface="+mn-cs"/>
            </a:rPr>
            <a:t>ccounting </a:t>
          </a:r>
          <a:r>
            <a:rPr lang="en-AU" sz="1100" b="1">
              <a:solidFill>
                <a:schemeClr val="dk1"/>
              </a:solidFill>
              <a:effectLst/>
              <a:latin typeface="+mn-lt"/>
              <a:ea typeface="+mn-ea"/>
              <a:cs typeface="+mn-cs"/>
            </a:rPr>
            <a:t>F</a:t>
          </a:r>
          <a:r>
            <a:rPr lang="en-AU" sz="1100">
              <a:solidFill>
                <a:schemeClr val="dk1"/>
              </a:solidFill>
              <a:effectLst/>
              <a:latin typeface="+mn-lt"/>
              <a:ea typeface="+mn-ea"/>
              <a:cs typeface="+mn-cs"/>
            </a:rPr>
            <a:t>ramework for </a:t>
          </a:r>
          <a:r>
            <a:rPr lang="en-AU" sz="1100" b="1">
              <a:solidFill>
                <a:schemeClr val="dk1"/>
              </a:solidFill>
              <a:effectLst/>
              <a:latin typeface="+mn-lt"/>
              <a:ea typeface="+mn-ea"/>
              <a:cs typeface="+mn-cs"/>
            </a:rPr>
            <a:t>S</a:t>
          </a:r>
          <a:r>
            <a:rPr lang="en-AU" sz="1100" b="0">
              <a:solidFill>
                <a:schemeClr val="dk1"/>
              </a:solidFill>
              <a:effectLst/>
              <a:latin typeface="+mn-lt"/>
              <a:ea typeface="+mn-ea"/>
              <a:cs typeface="+mn-cs"/>
            </a:rPr>
            <a:t>heep </a:t>
          </a:r>
          <a:r>
            <a:rPr lang="en-AU" sz="1100">
              <a:solidFill>
                <a:schemeClr val="dk1"/>
              </a:solidFill>
              <a:effectLst/>
              <a:latin typeface="+mn-lt"/>
              <a:ea typeface="+mn-ea"/>
              <a:cs typeface="+mn-cs"/>
            </a:rPr>
            <a:t>properties (S-GAF) based on the Australian National Greenhouse Gas Inventory methodology. Updated July 2016 http://www.greenhouse.unimelb.edu.au/Tools.htm</a:t>
          </a:r>
        </a:p>
      </xdr:txBody>
    </xdr:sp>
    <xdr:clientData/>
  </xdr:oneCellAnchor>
  <xdr:twoCellAnchor editAs="oneCell">
    <xdr:from>
      <xdr:col>5</xdr:col>
      <xdr:colOff>838200</xdr:colOff>
      <xdr:row>26</xdr:row>
      <xdr:rowOff>152400</xdr:rowOff>
    </xdr:from>
    <xdr:to>
      <xdr:col>6</xdr:col>
      <xdr:colOff>809626</xdr:colOff>
      <xdr:row>54</xdr:row>
      <xdr:rowOff>884237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152" t="10077" r="14106" b="10077"/>
        <a:stretch/>
      </xdr:blipFill>
      <xdr:spPr>
        <a:xfrm>
          <a:off x="5305425" y="6057900"/>
          <a:ext cx="923926" cy="987425"/>
        </a:xfrm>
        <a:prstGeom prst="rect">
          <a:avLst/>
        </a:prstGeom>
      </xdr:spPr>
    </xdr:pic>
    <xdr:clientData/>
  </xdr:twoCellAnchor>
  <xdr:twoCellAnchor editAs="oneCell">
    <xdr:from>
      <xdr:col>7</xdr:col>
      <xdr:colOff>95250</xdr:colOff>
      <xdr:row>26</xdr:row>
      <xdr:rowOff>133350</xdr:rowOff>
    </xdr:from>
    <xdr:to>
      <xdr:col>9</xdr:col>
      <xdr:colOff>94933</xdr:colOff>
      <xdr:row>54</xdr:row>
      <xdr:rowOff>844550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781800" y="5853113"/>
          <a:ext cx="2238058" cy="92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1042988</xdr:colOff>
          <xdr:row>96</xdr:row>
          <xdr:rowOff>166687</xdr:rowOff>
        </xdr:from>
        <xdr:to>
          <xdr:col>5</xdr:col>
          <xdr:colOff>590550</xdr:colOff>
          <xdr:row>98</xdr:row>
          <xdr:rowOff>28575</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105</xdr:row>
          <xdr:rowOff>157162</xdr:rowOff>
        </xdr:from>
        <xdr:to>
          <xdr:col>5</xdr:col>
          <xdr:colOff>552450</xdr:colOff>
          <xdr:row>107</xdr:row>
          <xdr:rowOff>19050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1</xdr:row>
          <xdr:rowOff>195264</xdr:rowOff>
        </xdr:from>
        <xdr:to>
          <xdr:col>5</xdr:col>
          <xdr:colOff>733425</xdr:colOff>
          <xdr:row>3</xdr:row>
          <xdr:rowOff>9526</xdr:rowOff>
        </xdr:to>
        <xdr:sp macro="" textlink="">
          <xdr:nvSpPr>
            <xdr:cNvPr id="1066" name="Drop Down 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957263</xdr:colOff>
          <xdr:row>3</xdr:row>
          <xdr:rowOff>204788</xdr:rowOff>
        </xdr:from>
        <xdr:to>
          <xdr:col>5</xdr:col>
          <xdr:colOff>438151</xdr:colOff>
          <xdr:row>5</xdr:row>
          <xdr:rowOff>23813</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xdr:twoCellAnchor editAs="oneCell">
    <xdr:from>
      <xdr:col>11</xdr:col>
      <xdr:colOff>165100</xdr:colOff>
      <xdr:row>3</xdr:row>
      <xdr:rowOff>18424</xdr:rowOff>
    </xdr:from>
    <xdr:to>
      <xdr:col>18</xdr:col>
      <xdr:colOff>504825</xdr:colOff>
      <xdr:row>20</xdr:row>
      <xdr:rowOff>50800</xdr:rowOff>
    </xdr:to>
    <xdr:pic>
      <xdr:nvPicPr>
        <xdr:cNvPr id="7" name="Picture 35">
          <a:extLst>
            <a:ext uri="{FF2B5EF4-FFF2-40B4-BE49-F238E27FC236}">
              <a16:creationId xmlns:a16="http://schemas.microsoft.com/office/drawing/2014/main" id="{00000000-0008-0000-01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600" r="1196" b="9199"/>
        <a:stretch/>
      </xdr:blipFill>
      <xdr:spPr bwMode="auto">
        <a:xfrm>
          <a:off x="13601700" y="793124"/>
          <a:ext cx="5165725" cy="320737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63"/>
  <sheetViews>
    <sheetView showGridLines="0" tabSelected="1" workbookViewId="0">
      <selection activeCell="C24" sqref="C24"/>
    </sheetView>
  </sheetViews>
  <sheetFormatPr defaultColWidth="0" defaultRowHeight="13.9" zeroHeight="1"/>
  <cols>
    <col min="1" max="1" width="1.6640625" style="1" customWidth="1"/>
    <col min="2" max="2" width="28" style="1" customWidth="1"/>
    <col min="3" max="3" width="11.46484375" style="1" customWidth="1"/>
    <col min="4" max="4" width="10.796875" style="1" customWidth="1"/>
    <col min="5" max="5" width="15" style="1" customWidth="1"/>
    <col min="6" max="6" width="14.33203125" style="1" customWidth="1"/>
    <col min="7" max="7" width="12.33203125" style="1" customWidth="1"/>
    <col min="8" max="8" width="18.6640625" style="1" customWidth="1"/>
    <col min="9" max="9" width="12.6640625" style="1" customWidth="1"/>
    <col min="10" max="10" width="2.6640625" style="1" customWidth="1"/>
    <col min="11" max="11" width="25.33203125" style="1" customWidth="1"/>
    <col min="12" max="12" width="13" style="1" bestFit="1" customWidth="1"/>
    <col min="13" max="13" width="9.796875" style="1" bestFit="1" customWidth="1"/>
    <col min="14" max="14" width="13" style="1" customWidth="1"/>
    <col min="15" max="15" width="2.6640625" style="1" customWidth="1"/>
    <col min="16" max="16" width="0" style="1" hidden="1" customWidth="1"/>
    <col min="17" max="16384" width="0" style="1" hidden="1"/>
  </cols>
  <sheetData>
    <row r="1" spans="2:14" ht="24" customHeight="1">
      <c r="B1" s="2" t="s">
        <v>0</v>
      </c>
    </row>
    <row r="2" spans="2:14">
      <c r="C2" s="3"/>
      <c r="D2" s="3"/>
      <c r="E2" s="3"/>
      <c r="F2" s="3"/>
      <c r="H2" s="3"/>
      <c r="I2" s="3"/>
    </row>
    <row r="3" spans="2:14" ht="16.8" customHeight="1">
      <c r="B3" s="176" t="s">
        <v>1</v>
      </c>
      <c r="C3" s="497" t="str">
        <f>'Data input'!I1</f>
        <v>Joe Bloggs</v>
      </c>
      <c r="D3" s="497"/>
      <c r="E3" s="157"/>
      <c r="F3" s="157"/>
      <c r="G3" s="157"/>
      <c r="H3" s="157"/>
      <c r="I3" s="158"/>
      <c r="K3" s="427" t="s">
        <v>2</v>
      </c>
      <c r="L3" s="428" t="s">
        <v>627</v>
      </c>
      <c r="M3" s="154" t="s">
        <v>3</v>
      </c>
      <c r="N3" s="151" t="str">
        <f>L3</f>
        <v>t CO2e/farm</v>
      </c>
    </row>
    <row r="4" spans="2:14" ht="19.8" customHeight="1">
      <c r="B4" s="173" t="s">
        <v>182</v>
      </c>
      <c r="C4" s="419" t="str">
        <f>'Electicity &amp; Diesel'!L13</f>
        <v>Vic</v>
      </c>
      <c r="D4" s="174"/>
      <c r="E4" s="174"/>
      <c r="F4" s="174"/>
      <c r="G4" s="174"/>
      <c r="H4" s="174"/>
      <c r="I4" s="175"/>
      <c r="K4" s="429" t="s">
        <v>655</v>
      </c>
      <c r="L4" s="430">
        <f>'Electicity &amp; Diesel'!C57</f>
        <v>8.0944200000000013</v>
      </c>
      <c r="M4" s="155" t="s">
        <v>12</v>
      </c>
      <c r="N4" s="152">
        <f>SUM(L4:L7)</f>
        <v>17.493003333333334</v>
      </c>
    </row>
    <row r="5" spans="2:14" ht="16.149999999999999">
      <c r="B5" s="146" t="s">
        <v>4</v>
      </c>
      <c r="C5" s="159" t="str">
        <f>'Data input'!D7</f>
        <v>Rams</v>
      </c>
      <c r="D5" s="159" t="str">
        <f>'Data input'!E7</f>
        <v>Wethers</v>
      </c>
      <c r="E5" s="160" t="str">
        <f>'Data input'!F7</f>
        <v>Maiden breeding ewes</v>
      </c>
      <c r="F5" s="159" t="str">
        <f>'Data input'!G7</f>
        <v>Breeding ewes</v>
      </c>
      <c r="G5" s="159" t="str">
        <f>'Data input'!H7</f>
        <v>Other ewes</v>
      </c>
      <c r="H5" s="159" t="str">
        <f>'Data input'!I7</f>
        <v>Lambs and hoggets</v>
      </c>
      <c r="I5" s="161" t="str">
        <f>'Data input'!J7</f>
        <v>Units</v>
      </c>
      <c r="J5" s="5"/>
      <c r="K5" s="431" t="s">
        <v>662</v>
      </c>
      <c r="L5" s="432">
        <f>Transport!D30</f>
        <v>0</v>
      </c>
      <c r="M5" s="155" t="s">
        <v>14</v>
      </c>
      <c r="N5" s="152">
        <f>SUM(L8:L10)</f>
        <v>571.87826728394884</v>
      </c>
    </row>
    <row r="6" spans="2:14" ht="16.149999999999999">
      <c r="B6" s="137" t="s">
        <v>13</v>
      </c>
      <c r="C6" s="162">
        <f>'Data input'!D12</f>
        <v>50</v>
      </c>
      <c r="D6" s="162">
        <f>'Data input'!E12</f>
        <v>2000</v>
      </c>
      <c r="E6" s="162">
        <f>'Data input'!F12</f>
        <v>500</v>
      </c>
      <c r="F6" s="162">
        <f>'Data input'!G12</f>
        <v>500</v>
      </c>
      <c r="G6" s="162">
        <f>'Data input'!H12</f>
        <v>0</v>
      </c>
      <c r="H6" s="162">
        <f>'Data input'!I12</f>
        <v>0</v>
      </c>
      <c r="I6" s="163" t="str">
        <f>'Data input'!J12</f>
        <v>head</v>
      </c>
      <c r="K6" s="431" t="s">
        <v>654</v>
      </c>
      <c r="L6" s="432">
        <f>Liming!E15</f>
        <v>2.0652500000000003</v>
      </c>
      <c r="M6" s="156" t="s">
        <v>16</v>
      </c>
      <c r="N6" s="153">
        <f>SUM(L11:L16)</f>
        <v>70.101095052219279</v>
      </c>
    </row>
    <row r="7" spans="2:14" ht="16.149999999999999">
      <c r="B7" s="137" t="s">
        <v>15</v>
      </c>
      <c r="C7" s="164">
        <f>'Data input'!D18</f>
        <v>66.25</v>
      </c>
      <c r="D7" s="164">
        <f>'Data input'!E18</f>
        <v>54.25</v>
      </c>
      <c r="E7" s="164">
        <f>'Data input'!F18</f>
        <v>44</v>
      </c>
      <c r="F7" s="164">
        <f>'Data input'!G18</f>
        <v>49</v>
      </c>
      <c r="G7" s="164">
        <f>'Data input'!H18</f>
        <v>50</v>
      </c>
      <c r="H7" s="164">
        <f>'Data input'!I18</f>
        <v>28.75</v>
      </c>
      <c r="I7" s="165" t="str">
        <f>'Data input'!J18</f>
        <v>kg/head</v>
      </c>
      <c r="K7" s="431" t="s">
        <v>653</v>
      </c>
      <c r="L7" s="432">
        <f>'Urea Application'!C22</f>
        <v>7.333333333333333</v>
      </c>
      <c r="M7" s="140"/>
      <c r="N7" s="140"/>
    </row>
    <row r="8" spans="2:14" ht="16.149999999999999">
      <c r="B8" s="137" t="s">
        <v>17</v>
      </c>
      <c r="C8" s="166">
        <f>'Data input'!D24</f>
        <v>0</v>
      </c>
      <c r="D8" s="166">
        <f>'Data input'!E24</f>
        <v>2.4999999999999996E-3</v>
      </c>
      <c r="E8" s="166">
        <f>'Data input'!F24</f>
        <v>0</v>
      </c>
      <c r="F8" s="166">
        <f>'Data input'!G24</f>
        <v>2.2499999999999999E-2</v>
      </c>
      <c r="G8" s="166">
        <f>'Data input'!H24</f>
        <v>0</v>
      </c>
      <c r="H8" s="166">
        <f>'Data input'!I24</f>
        <v>0.1</v>
      </c>
      <c r="I8" s="167" t="str">
        <f>'Data input'!J24</f>
        <v>kg/day</v>
      </c>
      <c r="J8" s="6"/>
      <c r="K8" s="431" t="s">
        <v>652</v>
      </c>
      <c r="L8" s="432">
        <f>'Enteric fermentation'!M48</f>
        <v>571.72240689837633</v>
      </c>
      <c r="M8" s="140"/>
      <c r="N8" s="140"/>
    </row>
    <row r="9" spans="2:14" ht="16.149999999999999">
      <c r="B9" s="137" t="s">
        <v>18</v>
      </c>
      <c r="C9" s="168">
        <f>'Data input'!D30</f>
        <v>1.925</v>
      </c>
      <c r="D9" s="168">
        <f>'Data input'!E30</f>
        <v>2.25</v>
      </c>
      <c r="E9" s="168">
        <f>'Data input'!F30</f>
        <v>1.925</v>
      </c>
      <c r="F9" s="168">
        <f>'Data input'!G30</f>
        <v>2.1749999999999998</v>
      </c>
      <c r="G9" s="168">
        <f>'Data input'!H30</f>
        <v>1.8</v>
      </c>
      <c r="H9" s="168">
        <f>'Data input'!I30</f>
        <v>2</v>
      </c>
      <c r="I9" s="169" t="str">
        <f>'Data input'!J30</f>
        <v>t/ha</v>
      </c>
      <c r="J9" s="6"/>
      <c r="K9" s="431" t="s">
        <v>669</v>
      </c>
      <c r="L9" s="432">
        <f>'Manure management'!C33</f>
        <v>0.14428038557252879</v>
      </c>
      <c r="M9" s="140"/>
      <c r="N9" s="140"/>
    </row>
    <row r="10" spans="2:14" ht="17.25" customHeight="1">
      <c r="B10" s="201" t="s">
        <v>19</v>
      </c>
      <c r="C10" s="202"/>
      <c r="D10" s="202"/>
      <c r="E10" s="202"/>
      <c r="F10" s="202">
        <f>'Data input'!G36</f>
        <v>1</v>
      </c>
      <c r="G10" s="202"/>
      <c r="H10" s="202"/>
      <c r="I10" s="203"/>
      <c r="K10" s="431" t="s">
        <v>628</v>
      </c>
      <c r="L10" s="432">
        <f>'Electicity &amp; Diesel'!C90</f>
        <v>1.1580000000000002E-2</v>
      </c>
      <c r="M10" s="140"/>
      <c r="N10" s="140"/>
    </row>
    <row r="11" spans="2:14" ht="18.5" customHeight="1">
      <c r="B11" s="209" t="s">
        <v>192</v>
      </c>
      <c r="C11" s="210"/>
      <c r="D11" s="210"/>
      <c r="E11" s="210"/>
      <c r="F11" s="210">
        <f>'Data input'!G42</f>
        <v>0.9</v>
      </c>
      <c r="G11" s="210"/>
      <c r="H11" s="210"/>
      <c r="I11" s="211"/>
      <c r="K11" s="431" t="s">
        <v>629</v>
      </c>
      <c r="L11" s="432">
        <f>'Agricultural soils'!C89</f>
        <v>4.6828571428571433</v>
      </c>
      <c r="M11" s="140"/>
      <c r="N11" s="140"/>
    </row>
    <row r="12" spans="2:14" ht="16.8" customHeight="1">
      <c r="B12" s="201" t="s">
        <v>20</v>
      </c>
      <c r="C12" s="204">
        <f>'Data input'!D48</f>
        <v>11.5</v>
      </c>
      <c r="D12" s="204">
        <f>'Data input'!E48</f>
        <v>11.5</v>
      </c>
      <c r="E12" s="204">
        <f>'Data input'!F48</f>
        <v>11.5</v>
      </c>
      <c r="F12" s="204">
        <f>'Data input'!G48</f>
        <v>11.5</v>
      </c>
      <c r="G12" s="204">
        <f>'Data input'!H48</f>
        <v>11.5</v>
      </c>
      <c r="H12" s="204">
        <f>'Data input'!I48</f>
        <v>12.25</v>
      </c>
      <c r="I12" s="205" t="str">
        <f>'Data input'!J48</f>
        <v>%</v>
      </c>
      <c r="K12" s="431" t="s">
        <v>650</v>
      </c>
      <c r="L12" s="432">
        <f>'Agricultural soils'!C114</f>
        <v>35.884858892849401</v>
      </c>
      <c r="M12" s="140"/>
      <c r="N12" s="140"/>
    </row>
    <row r="13" spans="2:14" ht="17.25" customHeight="1">
      <c r="B13" s="206" t="s">
        <v>180</v>
      </c>
      <c r="C13" s="207">
        <f>'Data input'!D54</f>
        <v>62.5</v>
      </c>
      <c r="D13" s="207">
        <f>'Data input'!E54</f>
        <v>62.5</v>
      </c>
      <c r="E13" s="207">
        <f>'Data input'!F54</f>
        <v>62.5</v>
      </c>
      <c r="F13" s="207">
        <f>'Data input'!G54</f>
        <v>62.5</v>
      </c>
      <c r="G13" s="207">
        <f>'Data input'!H54</f>
        <v>62.5</v>
      </c>
      <c r="H13" s="207">
        <f>'Data input'!I54</f>
        <v>62.5</v>
      </c>
      <c r="I13" s="208" t="str">
        <f>'Data input'!J54</f>
        <v>%</v>
      </c>
      <c r="K13" s="431" t="s">
        <v>630</v>
      </c>
      <c r="L13" s="432">
        <f>'Agricultural soils'!C174</f>
        <v>4.0567716035706551</v>
      </c>
      <c r="M13" s="140"/>
      <c r="N13" s="140"/>
    </row>
    <row r="14" spans="2:14" ht="17.25" customHeight="1">
      <c r="B14" s="201"/>
      <c r="C14" s="425" t="s">
        <v>197</v>
      </c>
      <c r="D14" s="425" t="s">
        <v>198</v>
      </c>
      <c r="E14" s="420"/>
      <c r="F14" s="420"/>
      <c r="G14" s="420"/>
      <c r="H14" s="420"/>
      <c r="I14" s="421"/>
      <c r="K14" s="431" t="s">
        <v>631</v>
      </c>
      <c r="L14" s="432">
        <f>'Agricultural soils'!C250</f>
        <v>25.453447412942072</v>
      </c>
      <c r="M14" s="140"/>
      <c r="N14" s="140"/>
    </row>
    <row r="15" spans="2:14" ht="16.05" customHeight="1">
      <c r="B15" s="201" t="s">
        <v>24</v>
      </c>
      <c r="C15" s="422">
        <f>'Data input'!D63</f>
        <v>100</v>
      </c>
      <c r="D15" s="423">
        <f>'Data input'!F63</f>
        <v>0</v>
      </c>
      <c r="E15" s="423"/>
      <c r="F15" s="423"/>
      <c r="G15" s="423"/>
      <c r="H15" s="423"/>
      <c r="I15" s="424" t="s">
        <v>23</v>
      </c>
      <c r="K15" s="431" t="s">
        <v>632</v>
      </c>
      <c r="L15" s="432">
        <f>'Electicity &amp; Diesel'!C91</f>
        <v>2.3160000000000004E-2</v>
      </c>
    </row>
    <row r="16" spans="2:14" ht="20.25" customHeight="1">
      <c r="B16" s="137" t="s">
        <v>22</v>
      </c>
      <c r="C16" s="422">
        <f>'Data input'!D64</f>
        <v>100</v>
      </c>
      <c r="D16" s="423">
        <f>'Data input'!F64</f>
        <v>0</v>
      </c>
      <c r="E16" s="139"/>
      <c r="F16" s="139"/>
      <c r="G16" s="139"/>
      <c r="H16" s="139"/>
      <c r="I16" s="141" t="s">
        <v>23</v>
      </c>
      <c r="K16" s="431" t="s">
        <v>651</v>
      </c>
      <c r="L16" s="432">
        <f>Transport!D32</f>
        <v>0</v>
      </c>
    </row>
    <row r="17" spans="2:12" ht="16.05" customHeight="1">
      <c r="B17" s="137" t="s">
        <v>26</v>
      </c>
      <c r="C17" s="138">
        <f>'Data input'!D71</f>
        <v>0</v>
      </c>
      <c r="D17" s="139">
        <f>'Data input'!F71</f>
        <v>0</v>
      </c>
      <c r="E17" s="139"/>
      <c r="F17" s="139"/>
      <c r="G17" s="139"/>
      <c r="H17" s="139"/>
      <c r="I17" s="141" t="s">
        <v>189</v>
      </c>
      <c r="K17" s="427" t="s">
        <v>21</v>
      </c>
      <c r="L17" s="488">
        <f>SUM(L4:L16)</f>
        <v>659.47236566950141</v>
      </c>
    </row>
    <row r="18" spans="2:12" ht="16.05" customHeight="1">
      <c r="B18" s="137" t="s">
        <v>25</v>
      </c>
      <c r="C18" s="138">
        <f>'Data input'!D78</f>
        <v>50</v>
      </c>
      <c r="D18" s="139">
        <f>'Data input'!F78</f>
        <v>0</v>
      </c>
      <c r="E18" s="139"/>
      <c r="F18" s="139"/>
      <c r="G18" s="139"/>
      <c r="H18" s="139"/>
      <c r="I18" s="141" t="s">
        <v>189</v>
      </c>
    </row>
    <row r="19" spans="2:12" ht="18.5" customHeight="1">
      <c r="B19" s="137" t="s">
        <v>625</v>
      </c>
      <c r="C19" s="142">
        <f>'Data input'!D84</f>
        <v>0</v>
      </c>
      <c r="D19" s="142">
        <f>'Data input'!F84</f>
        <v>0</v>
      </c>
      <c r="E19" s="142"/>
      <c r="F19" s="142"/>
      <c r="G19" s="142"/>
      <c r="H19" s="142"/>
      <c r="I19" s="426"/>
    </row>
    <row r="20" spans="2:12" ht="18.5" customHeight="1">
      <c r="B20" s="137" t="s">
        <v>626</v>
      </c>
      <c r="C20" s="138">
        <f>'Data input'!D90</f>
        <v>0</v>
      </c>
      <c r="D20" s="139">
        <f>'Data input'!F90</f>
        <v>0</v>
      </c>
      <c r="E20" s="139"/>
      <c r="F20" s="139"/>
      <c r="G20" s="139"/>
      <c r="H20" s="139"/>
      <c r="I20" s="141"/>
    </row>
    <row r="21" spans="2:12" ht="18.5" customHeight="1">
      <c r="B21" s="429" t="s">
        <v>224</v>
      </c>
      <c r="C21" s="147">
        <f>'Data input'!D100</f>
        <v>3000</v>
      </c>
      <c r="D21" s="148"/>
      <c r="E21" s="148"/>
      <c r="F21" s="148"/>
      <c r="G21" s="148"/>
      <c r="H21" s="148"/>
      <c r="I21" s="149" t="s">
        <v>28</v>
      </c>
    </row>
    <row r="22" spans="2:12" ht="18.5" customHeight="1">
      <c r="B22" s="431" t="s">
        <v>633</v>
      </c>
      <c r="C22" s="138">
        <f>'Data input'!D101</f>
        <v>0</v>
      </c>
      <c r="D22" s="139"/>
      <c r="E22" s="139"/>
      <c r="F22" s="139"/>
      <c r="G22" s="139"/>
      <c r="H22" s="139"/>
      <c r="I22" s="141" t="s">
        <v>225</v>
      </c>
    </row>
    <row r="23" spans="2:12" ht="15" customHeight="1">
      <c r="B23" s="433" t="s">
        <v>634</v>
      </c>
      <c r="C23" s="144">
        <f>'Data input'!D102</f>
        <v>36500</v>
      </c>
      <c r="D23" s="145"/>
      <c r="E23" s="145"/>
      <c r="F23" s="145"/>
      <c r="G23" s="145"/>
      <c r="H23" s="145"/>
      <c r="I23" s="150" t="s">
        <v>635</v>
      </c>
    </row>
    <row r="24" spans="2:12" ht="18.75" customHeight="1">
      <c r="B24" s="434" t="s">
        <v>31</v>
      </c>
      <c r="C24" s="479" t="str">
        <f>'Electicity &amp; Diesel'!D36</f>
        <v>Renewable</v>
      </c>
      <c r="D24" s="435"/>
      <c r="E24" s="157"/>
      <c r="F24" s="157"/>
      <c r="G24" s="157"/>
      <c r="H24" s="157"/>
      <c r="I24" s="158"/>
    </row>
    <row r="25" spans="2:12" ht="18" customHeight="1">
      <c r="B25" s="137" t="s">
        <v>32</v>
      </c>
      <c r="C25" s="138">
        <f>'Data input'!C60</f>
        <v>45.2</v>
      </c>
      <c r="D25" s="139"/>
      <c r="E25" s="139"/>
      <c r="F25" s="139"/>
      <c r="G25" s="139"/>
      <c r="H25" s="139"/>
      <c r="I25" s="170" t="s">
        <v>33</v>
      </c>
    </row>
    <row r="26" spans="2:12" ht="16.5" customHeight="1">
      <c r="B26" s="143" t="s">
        <v>184</v>
      </c>
      <c r="C26" s="171">
        <f>'Data input'!C111</f>
        <v>13.575000000000001</v>
      </c>
      <c r="D26" s="145"/>
      <c r="E26" s="172" t="s">
        <v>35</v>
      </c>
      <c r="F26" s="145"/>
      <c r="G26" s="145"/>
      <c r="H26" s="145"/>
      <c r="I26" s="150" t="s">
        <v>183</v>
      </c>
    </row>
    <row r="27" spans="2:12" ht="16.5" customHeight="1"/>
    <row r="28" spans="2:12" hidden="1"/>
    <row r="29" spans="2:12" hidden="1"/>
    <row r="30" spans="2:12" hidden="1"/>
    <row r="31" spans="2:12" hidden="1">
      <c r="D31" s="7"/>
    </row>
    <row r="32" spans="2:12" hidden="1">
      <c r="D32" s="7"/>
    </row>
    <row r="33" spans="4:4" hidden="1">
      <c r="D33" s="7"/>
    </row>
    <row r="34" spans="4:4" hidden="1">
      <c r="D34" s="7"/>
    </row>
    <row r="35" spans="4:4" hidden="1">
      <c r="D35" s="7"/>
    </row>
    <row r="36" spans="4:4" hidden="1">
      <c r="D36" s="7"/>
    </row>
    <row r="37" spans="4:4" hidden="1">
      <c r="D37" s="7"/>
    </row>
    <row r="38" spans="4:4" hidden="1">
      <c r="D38" s="7"/>
    </row>
    <row r="39" spans="4:4" hidden="1"/>
    <row r="40" spans="4:4" hidden="1"/>
    <row r="41" spans="4:4" hidden="1"/>
    <row r="42" spans="4:4" hidden="1"/>
    <row r="43" spans="4:4" hidden="1"/>
    <row r="44" spans="4:4" hidden="1"/>
    <row r="45" spans="4:4" hidden="1"/>
    <row r="46" spans="4:4" hidden="1"/>
    <row r="47" spans="4:4" hidden="1"/>
    <row r="48" spans="4:4" hidden="1"/>
    <row r="49" hidden="1"/>
    <row r="50" hidden="1"/>
    <row r="51" hidden="1"/>
    <row r="52" hidden="1"/>
    <row r="53" hidden="1"/>
    <row r="54" hidden="1"/>
    <row r="55" ht="190.05" customHeight="1"/>
    <row r="56" hidden="1"/>
    <row r="57" hidden="1"/>
    <row r="58" hidden="1"/>
    <row r="59" hidden="1"/>
    <row r="60" hidden="1"/>
    <row r="61" hidden="1"/>
    <row r="62" hidden="1"/>
    <row r="63" hidden="1"/>
  </sheetData>
  <sheetProtection sheet="1" objects="1" scenarios="1"/>
  <mergeCells count="1">
    <mergeCell ref="C3:D3"/>
  </mergeCells>
  <pageMargins left="0.75000000000000011" right="0.75000000000000011" top="1" bottom="1" header="0.5" footer="0.5"/>
  <pageSetup paperSize="9" scale="85" fitToWidth="0" fitToHeight="0" orientation="landscape" horizontalDpi="4294967292" verticalDpi="4294967292"/>
  <ignoredErrors>
    <ignoredError sqref="C15:C17 C20 C18" unlockedFormula="1"/>
  </ignoredErrors>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3"/>
  <sheetViews>
    <sheetView workbookViewId="0"/>
  </sheetViews>
  <sheetFormatPr defaultColWidth="10.796875" defaultRowHeight="12.75"/>
  <cols>
    <col min="1" max="1" width="2.1328125" style="361" customWidth="1"/>
    <col min="2" max="2" width="26.33203125" style="361" customWidth="1"/>
    <col min="3" max="3" width="24.796875" style="361" customWidth="1"/>
    <col min="4" max="8" width="10.796875" style="361"/>
    <col min="9" max="10" width="40.796875" style="361" customWidth="1"/>
    <col min="11" max="16384" width="10.796875" style="361"/>
  </cols>
  <sheetData>
    <row r="1" spans="1:10" ht="17.25">
      <c r="A1" s="360" t="s">
        <v>564</v>
      </c>
    </row>
    <row r="2" spans="1:10" ht="17.25">
      <c r="B2" s="363" t="s">
        <v>215</v>
      </c>
      <c r="C2" s="364"/>
      <c r="D2" s="364"/>
      <c r="E2" s="364"/>
      <c r="F2" s="364"/>
      <c r="G2" s="364"/>
      <c r="H2" s="364"/>
      <c r="I2" s="365"/>
      <c r="J2" s="365"/>
    </row>
    <row r="3" spans="1:10" ht="15.4">
      <c r="B3" s="366" t="s">
        <v>56</v>
      </c>
      <c r="C3" s="367"/>
      <c r="D3" s="367"/>
      <c r="E3" s="367"/>
      <c r="F3" s="366" t="s">
        <v>11</v>
      </c>
      <c r="G3" s="367"/>
      <c r="H3" s="367"/>
      <c r="I3" s="368" t="s">
        <v>217</v>
      </c>
      <c r="J3" s="368" t="s">
        <v>522</v>
      </c>
    </row>
    <row r="4" spans="1:10" ht="15.4">
      <c r="B4" s="231"/>
      <c r="C4" s="232"/>
      <c r="D4" s="232"/>
      <c r="E4" s="232"/>
      <c r="F4" s="231"/>
      <c r="G4" s="232"/>
      <c r="H4" s="232"/>
      <c r="I4" s="368"/>
      <c r="J4" s="368"/>
    </row>
    <row r="5" spans="1:10" ht="15.4">
      <c r="B5" s="231" t="s">
        <v>580</v>
      </c>
      <c r="C5" s="232">
        <f>'Data input'!D105</f>
        <v>0</v>
      </c>
      <c r="D5" s="232"/>
      <c r="E5" s="232"/>
      <c r="F5" s="231" t="s">
        <v>565</v>
      </c>
      <c r="G5" s="232"/>
      <c r="H5" s="232"/>
      <c r="I5" s="234"/>
      <c r="J5" s="234"/>
    </row>
    <row r="6" spans="1:10" ht="15.4">
      <c r="B6" s="231"/>
      <c r="C6" s="232"/>
      <c r="D6" s="232"/>
      <c r="E6" s="232"/>
      <c r="F6" s="231"/>
      <c r="G6" s="232"/>
      <c r="H6" s="232"/>
      <c r="I6" s="234"/>
      <c r="J6" s="234"/>
    </row>
    <row r="7" spans="1:10" ht="15.4">
      <c r="B7" s="231" t="s">
        <v>581</v>
      </c>
      <c r="C7" s="232">
        <v>1</v>
      </c>
      <c r="D7" s="232" t="s">
        <v>582</v>
      </c>
      <c r="E7" s="232"/>
      <c r="F7" s="231"/>
      <c r="G7" s="232"/>
      <c r="H7" s="232"/>
      <c r="I7" s="234"/>
      <c r="J7" s="234"/>
    </row>
    <row r="8" spans="1:10" ht="15.4">
      <c r="B8" s="231"/>
      <c r="C8" s="232">
        <v>2</v>
      </c>
      <c r="D8" s="232" t="s">
        <v>583</v>
      </c>
      <c r="E8" s="232"/>
      <c r="F8" s="231"/>
      <c r="G8" s="232"/>
      <c r="H8" s="232"/>
      <c r="I8" s="234"/>
      <c r="J8" s="234"/>
    </row>
    <row r="9" spans="1:10" ht="15.4">
      <c r="B9" s="231"/>
      <c r="C9" s="232">
        <v>3</v>
      </c>
      <c r="D9" s="232" t="s">
        <v>584</v>
      </c>
      <c r="E9" s="232"/>
      <c r="F9" s="231"/>
      <c r="G9" s="232"/>
      <c r="H9" s="232"/>
      <c r="I9" s="234"/>
      <c r="J9" s="234"/>
    </row>
    <row r="10" spans="1:10" ht="15.4">
      <c r="B10" s="231" t="s">
        <v>585</v>
      </c>
      <c r="C10" s="231">
        <f>'Data input'!D107</f>
        <v>3</v>
      </c>
      <c r="D10" s="232"/>
      <c r="E10" s="232"/>
      <c r="F10" s="231"/>
      <c r="G10" s="232"/>
      <c r="H10" s="232"/>
      <c r="I10" s="234"/>
      <c r="J10" s="234"/>
    </row>
    <row r="11" spans="1:10" ht="15.4">
      <c r="B11" s="231"/>
      <c r="C11" s="232"/>
      <c r="D11" s="232"/>
      <c r="E11" s="232"/>
      <c r="F11" s="231"/>
      <c r="G11" s="232"/>
      <c r="H11" s="232"/>
      <c r="I11" s="234"/>
      <c r="J11" s="234"/>
    </row>
    <row r="12" spans="1:10" ht="15.4">
      <c r="B12" s="231" t="s">
        <v>586</v>
      </c>
      <c r="C12" s="232">
        <v>1</v>
      </c>
      <c r="D12" s="232">
        <v>0.78500000000000003</v>
      </c>
      <c r="E12" s="232"/>
      <c r="F12" s="231" t="s">
        <v>587</v>
      </c>
      <c r="G12" s="232"/>
      <c r="H12" s="232"/>
      <c r="I12" s="234"/>
      <c r="J12" s="234"/>
    </row>
    <row r="13" spans="1:10" ht="15.4">
      <c r="B13" s="231"/>
      <c r="C13" s="232">
        <v>2</v>
      </c>
      <c r="D13" s="232">
        <v>1.1100000000000001</v>
      </c>
      <c r="E13" s="232"/>
      <c r="F13" s="231" t="s">
        <v>587</v>
      </c>
      <c r="G13" s="232"/>
      <c r="H13" s="232"/>
      <c r="I13" s="234"/>
      <c r="J13" s="234"/>
    </row>
    <row r="14" spans="1:10" ht="15.4">
      <c r="B14" s="231"/>
      <c r="C14" s="232">
        <v>3</v>
      </c>
      <c r="D14" s="232">
        <v>0.625</v>
      </c>
      <c r="E14" s="232"/>
      <c r="F14" s="231" t="s">
        <v>587</v>
      </c>
      <c r="G14" s="232"/>
      <c r="H14" s="232"/>
      <c r="I14" s="234"/>
      <c r="J14" s="234"/>
    </row>
    <row r="15" spans="1:10" ht="15.4">
      <c r="B15" s="231" t="s">
        <v>588</v>
      </c>
      <c r="C15" s="231">
        <f>C10</f>
        <v>3</v>
      </c>
      <c r="D15" s="231">
        <f>INDEX(D12:D14,MATCH(C15,C12:C14,0))</f>
        <v>0.625</v>
      </c>
      <c r="E15" s="231"/>
      <c r="F15" s="231" t="s">
        <v>587</v>
      </c>
      <c r="G15" s="232"/>
      <c r="H15" s="232"/>
      <c r="I15" s="234"/>
      <c r="J15" s="234"/>
    </row>
    <row r="16" spans="1:10" ht="15.4">
      <c r="B16" s="231"/>
      <c r="C16" s="232"/>
      <c r="D16" s="232"/>
      <c r="E16" s="232"/>
      <c r="F16" s="231"/>
      <c r="G16" s="232"/>
      <c r="H16" s="232"/>
      <c r="I16" s="234"/>
      <c r="J16" s="234"/>
    </row>
    <row r="17" spans="2:10" ht="15.4">
      <c r="B17" s="231" t="s">
        <v>589</v>
      </c>
      <c r="C17" s="231" t="s">
        <v>590</v>
      </c>
      <c r="D17" s="232">
        <f>(D15*C5)/1000</f>
        <v>0</v>
      </c>
      <c r="E17" s="232"/>
      <c r="F17" s="231" t="s">
        <v>591</v>
      </c>
      <c r="G17" s="232"/>
      <c r="H17" s="232"/>
      <c r="I17" s="234"/>
      <c r="J17" s="234"/>
    </row>
    <row r="18" spans="2:10" ht="15.4">
      <c r="B18" s="369"/>
      <c r="C18" s="231" t="s">
        <v>592</v>
      </c>
      <c r="D18" s="232">
        <v>38.6</v>
      </c>
      <c r="E18" s="232"/>
      <c r="F18" s="231" t="s">
        <v>230</v>
      </c>
      <c r="G18" s="232"/>
      <c r="H18" s="232"/>
      <c r="I18" s="234"/>
      <c r="J18" s="234"/>
    </row>
    <row r="19" spans="2:10" ht="15.4">
      <c r="B19" s="231"/>
      <c r="C19" s="232" t="s">
        <v>593</v>
      </c>
      <c r="D19" s="232">
        <v>69.900000000000006</v>
      </c>
      <c r="E19" s="232"/>
      <c r="F19" s="231" t="s">
        <v>233</v>
      </c>
      <c r="G19" s="232"/>
      <c r="H19" s="232"/>
      <c r="I19" s="234" t="s">
        <v>594</v>
      </c>
      <c r="J19" s="234" t="s">
        <v>546</v>
      </c>
    </row>
    <row r="20" spans="2:10" ht="15.4">
      <c r="B20" s="231"/>
      <c r="C20" s="232" t="s">
        <v>595</v>
      </c>
      <c r="D20" s="232">
        <v>0.1</v>
      </c>
      <c r="E20" s="232"/>
      <c r="F20" s="231" t="s">
        <v>233</v>
      </c>
      <c r="G20" s="232"/>
      <c r="H20" s="232"/>
      <c r="I20" s="234" t="s">
        <v>594</v>
      </c>
      <c r="J20" s="234" t="s">
        <v>546</v>
      </c>
    </row>
    <row r="21" spans="2:10" ht="15.4">
      <c r="B21" s="231"/>
      <c r="C21" s="232" t="s">
        <v>596</v>
      </c>
      <c r="D21" s="232">
        <v>0.2</v>
      </c>
      <c r="E21" s="232"/>
      <c r="F21" s="231" t="s">
        <v>233</v>
      </c>
      <c r="G21" s="232"/>
      <c r="H21" s="232"/>
      <c r="I21" s="234" t="s">
        <v>594</v>
      </c>
      <c r="J21" s="234" t="s">
        <v>546</v>
      </c>
    </row>
    <row r="22" spans="2:10" ht="15.4">
      <c r="B22" s="231"/>
      <c r="C22" s="232"/>
      <c r="D22" s="232"/>
      <c r="E22" s="232"/>
      <c r="F22" s="231"/>
      <c r="G22" s="232"/>
      <c r="H22" s="232"/>
      <c r="I22" s="234"/>
      <c r="J22" s="234"/>
    </row>
    <row r="23" spans="2:10" ht="15.4">
      <c r="B23" s="231"/>
      <c r="C23" s="231" t="s">
        <v>597</v>
      </c>
      <c r="D23" s="232"/>
      <c r="E23" s="232"/>
      <c r="F23" s="231"/>
      <c r="G23" s="232"/>
      <c r="H23" s="232"/>
      <c r="I23" s="234" t="s">
        <v>598</v>
      </c>
      <c r="J23" s="234" t="s">
        <v>546</v>
      </c>
    </row>
    <row r="24" spans="2:10" ht="15.4">
      <c r="B24" s="231"/>
      <c r="C24" s="232"/>
      <c r="D24" s="232"/>
      <c r="E24" s="232"/>
      <c r="F24" s="231"/>
      <c r="G24" s="232"/>
      <c r="H24" s="232"/>
      <c r="I24" s="234" t="s">
        <v>594</v>
      </c>
      <c r="J24" s="234" t="s">
        <v>546</v>
      </c>
    </row>
    <row r="25" spans="2:10" ht="15.4">
      <c r="B25" s="231"/>
      <c r="C25" s="232" t="s">
        <v>599</v>
      </c>
      <c r="D25" s="232"/>
      <c r="E25" s="232"/>
      <c r="F25" s="231"/>
      <c r="G25" s="232"/>
      <c r="H25" s="232"/>
      <c r="I25" s="234"/>
      <c r="J25" s="234"/>
    </row>
    <row r="26" spans="2:10" ht="15.4">
      <c r="B26" s="231"/>
      <c r="C26" s="232" t="s">
        <v>600</v>
      </c>
      <c r="D26" s="232"/>
      <c r="E26" s="232"/>
      <c r="F26" s="231"/>
      <c r="G26" s="232"/>
      <c r="H26" s="232"/>
      <c r="I26" s="234"/>
      <c r="J26" s="234"/>
    </row>
    <row r="27" spans="2:10" ht="15.4">
      <c r="B27" s="231"/>
      <c r="C27" s="232" t="s">
        <v>601</v>
      </c>
      <c r="D27" s="232"/>
      <c r="E27" s="232"/>
      <c r="F27" s="231"/>
      <c r="G27" s="232"/>
      <c r="H27" s="232"/>
      <c r="I27" s="234"/>
      <c r="J27" s="234"/>
    </row>
    <row r="28" spans="2:10" ht="15.4">
      <c r="B28" s="231"/>
      <c r="C28" s="232" t="s">
        <v>602</v>
      </c>
      <c r="D28" s="232"/>
      <c r="E28" s="232"/>
      <c r="F28" s="231"/>
      <c r="G28" s="232"/>
      <c r="H28" s="232"/>
      <c r="I28" s="234"/>
      <c r="J28" s="234"/>
    </row>
    <row r="29" spans="2:10" ht="15.4">
      <c r="B29" s="231"/>
      <c r="C29" s="232"/>
      <c r="D29" s="232"/>
      <c r="E29" s="232"/>
      <c r="F29" s="231"/>
      <c r="G29" s="232"/>
      <c r="H29" s="232"/>
      <c r="I29" s="234"/>
      <c r="J29" s="234"/>
    </row>
    <row r="30" spans="2:10" ht="15.4">
      <c r="B30" s="231" t="s">
        <v>603</v>
      </c>
      <c r="C30" s="232"/>
      <c r="D30" s="302">
        <f>(D17*D18*D19)*10^-3</f>
        <v>0</v>
      </c>
      <c r="E30" s="232"/>
      <c r="F30" s="231" t="s">
        <v>604</v>
      </c>
      <c r="G30" s="232"/>
      <c r="H30" s="232"/>
      <c r="I30" s="234"/>
      <c r="J30" s="234"/>
    </row>
    <row r="31" spans="2:10" ht="15.4">
      <c r="B31" s="231" t="s">
        <v>605</v>
      </c>
      <c r="C31" s="232"/>
      <c r="D31" s="302">
        <f>(D17*D18*D20)*10^-3</f>
        <v>0</v>
      </c>
      <c r="E31" s="232"/>
      <c r="F31" s="231" t="s">
        <v>604</v>
      </c>
      <c r="G31" s="232"/>
      <c r="H31" s="232"/>
      <c r="I31" s="234"/>
      <c r="J31" s="234"/>
    </row>
    <row r="32" spans="2:10" ht="15.4">
      <c r="B32" s="297" t="s">
        <v>606</v>
      </c>
      <c r="C32" s="304"/>
      <c r="D32" s="370">
        <f>(D17*D18*D21)*10^-3</f>
        <v>0</v>
      </c>
      <c r="E32" s="304"/>
      <c r="F32" s="297" t="s">
        <v>604</v>
      </c>
      <c r="G32" s="304"/>
      <c r="H32" s="304"/>
      <c r="I32" s="371"/>
      <c r="J32" s="371"/>
    </row>
    <row r="33" spans="2:10" ht="15.4">
      <c r="B33" s="372"/>
      <c r="C33" s="373"/>
      <c r="D33" s="373"/>
      <c r="E33" s="373"/>
      <c r="F33" s="372"/>
      <c r="G33" s="373"/>
      <c r="H33" s="373"/>
      <c r="I33" s="374"/>
      <c r="J33" s="374"/>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9"/>
  <sheetViews>
    <sheetView workbookViewId="0"/>
  </sheetViews>
  <sheetFormatPr defaultColWidth="10.796875" defaultRowHeight="12.75"/>
  <cols>
    <col min="1" max="1" width="2.6640625" style="361" customWidth="1"/>
    <col min="2" max="16384" width="10.796875" style="361"/>
  </cols>
  <sheetData>
    <row r="1" spans="1:4" ht="17.25">
      <c r="A1" s="360" t="s">
        <v>670</v>
      </c>
    </row>
    <row r="3" spans="1:4" ht="13.15">
      <c r="B3" s="375" t="s">
        <v>258</v>
      </c>
      <c r="C3" s="376" t="s">
        <v>607</v>
      </c>
      <c r="D3" s="377"/>
    </row>
    <row r="4" spans="1:4">
      <c r="B4" s="377" t="s">
        <v>608</v>
      </c>
      <c r="C4" s="377">
        <v>1</v>
      </c>
      <c r="D4" s="377"/>
    </row>
    <row r="5" spans="1:4">
      <c r="B5" s="362" t="s">
        <v>609</v>
      </c>
      <c r="C5" s="362">
        <v>25</v>
      </c>
      <c r="D5" s="362"/>
    </row>
    <row r="6" spans="1:4">
      <c r="B6" s="362" t="s">
        <v>610</v>
      </c>
      <c r="C6" s="362">
        <v>298</v>
      </c>
      <c r="D6" s="362"/>
    </row>
    <row r="7" spans="1:4">
      <c r="B7" s="362" t="s">
        <v>611</v>
      </c>
      <c r="C7" s="378">
        <v>7390</v>
      </c>
      <c r="D7" s="362"/>
    </row>
    <row r="8" spans="1:4">
      <c r="B8" s="362" t="s">
        <v>612</v>
      </c>
      <c r="C8" s="378">
        <v>12200</v>
      </c>
      <c r="D8" s="362"/>
    </row>
    <row r="9" spans="1:4">
      <c r="B9" s="362" t="s">
        <v>613</v>
      </c>
      <c r="C9" s="378">
        <v>22800</v>
      </c>
      <c r="D9" s="362"/>
    </row>
    <row r="10" spans="1:4">
      <c r="B10" s="379" t="s">
        <v>614</v>
      </c>
      <c r="C10" s="380">
        <v>17200</v>
      </c>
      <c r="D10" s="379"/>
    </row>
    <row r="11" spans="1:4">
      <c r="B11" s="362"/>
      <c r="C11" s="362"/>
      <c r="D11" s="362"/>
    </row>
    <row r="12" spans="1:4" ht="13.15">
      <c r="B12" s="375" t="s">
        <v>258</v>
      </c>
      <c r="C12" s="381" t="s">
        <v>615</v>
      </c>
      <c r="D12" s="375"/>
    </row>
    <row r="13" spans="1:4" ht="13.15">
      <c r="B13" s="382" t="s">
        <v>608</v>
      </c>
      <c r="C13" s="383">
        <f>44/12</f>
        <v>3.6666666666666665</v>
      </c>
      <c r="D13" s="375"/>
    </row>
    <row r="14" spans="1:4">
      <c r="B14" s="384" t="s">
        <v>609</v>
      </c>
      <c r="C14" s="385">
        <f>16/12</f>
        <v>1.3333333333333333</v>
      </c>
      <c r="D14" s="384"/>
    </row>
    <row r="15" spans="1:4">
      <c r="B15" s="384" t="s">
        <v>610</v>
      </c>
      <c r="C15" s="386">
        <f>44/28</f>
        <v>1.5714285714285714</v>
      </c>
      <c r="D15" s="362"/>
    </row>
    <row r="16" spans="1:4">
      <c r="B16" s="384" t="s">
        <v>616</v>
      </c>
      <c r="C16" s="386">
        <f>46/14</f>
        <v>3.2857142857142856</v>
      </c>
      <c r="D16" s="362"/>
    </row>
    <row r="17" spans="2:4">
      <c r="B17" s="384" t="s">
        <v>617</v>
      </c>
      <c r="C17" s="386">
        <f>28/12</f>
        <v>2.3333333333333335</v>
      </c>
      <c r="D17" s="362"/>
    </row>
    <row r="18" spans="2:4">
      <c r="B18" s="384" t="s">
        <v>618</v>
      </c>
      <c r="C18" s="386">
        <f>44/12</f>
        <v>3.6666666666666665</v>
      </c>
      <c r="D18" s="362"/>
    </row>
    <row r="19" spans="2:4">
      <c r="B19" s="379" t="s">
        <v>619</v>
      </c>
      <c r="C19" s="387">
        <f>14/12</f>
        <v>1.1666666666666667</v>
      </c>
      <c r="D19" s="379"/>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27"/>
  <sheetViews>
    <sheetView showGridLines="0" topLeftCell="A82" workbookViewId="0">
      <selection activeCell="D102" sqref="D102"/>
    </sheetView>
  </sheetViews>
  <sheetFormatPr defaultColWidth="8.796875" defaultRowHeight="15.4"/>
  <cols>
    <col min="1" max="1" width="2.6640625" style="8" customWidth="1"/>
    <col min="2" max="2" width="35.33203125" style="8" customWidth="1"/>
    <col min="3" max="3" width="14.6640625" style="8" customWidth="1"/>
    <col min="4" max="4" width="14" style="8" customWidth="1"/>
    <col min="5" max="5" width="10.46484375" style="8" customWidth="1"/>
    <col min="6" max="6" width="16.33203125" style="8" customWidth="1"/>
    <col min="7" max="7" width="14.1328125" style="8" customWidth="1"/>
    <col min="8" max="8" width="12" style="8" customWidth="1"/>
    <col min="9" max="9" width="19.33203125" style="8" customWidth="1"/>
    <col min="10" max="10" width="24.46484375" style="8" customWidth="1"/>
    <col min="11" max="16384" width="8.796875" style="8"/>
  </cols>
  <sheetData>
    <row r="1" spans="2:20" ht="30.5" customHeight="1">
      <c r="B1" s="9" t="s">
        <v>36</v>
      </c>
      <c r="H1" s="117" t="s">
        <v>1</v>
      </c>
      <c r="I1" s="498" t="s">
        <v>673</v>
      </c>
      <c r="J1" s="499"/>
      <c r="K1" s="395"/>
      <c r="L1" s="395"/>
      <c r="M1" s="220"/>
      <c r="N1" s="220"/>
      <c r="O1" s="220"/>
      <c r="P1" s="220"/>
      <c r="Q1" s="220"/>
    </row>
    <row r="2" spans="2:20" ht="16.05" customHeight="1">
      <c r="B2" s="9"/>
      <c r="J2" s="200"/>
      <c r="K2" s="220"/>
      <c r="L2" s="220"/>
      <c r="M2" s="220"/>
      <c r="N2" s="220"/>
      <c r="O2" s="220"/>
      <c r="P2" s="220"/>
      <c r="Q2" s="220"/>
      <c r="R2" s="220"/>
      <c r="S2" s="220"/>
      <c r="T2" s="396"/>
    </row>
    <row r="3" spans="2:20" s="10" customFormat="1" ht="17.25" customHeight="1">
      <c r="B3" s="388" t="s">
        <v>620</v>
      </c>
      <c r="C3" s="327"/>
      <c r="D3" s="389"/>
      <c r="E3" s="390">
        <v>6</v>
      </c>
      <c r="F3" s="327"/>
      <c r="G3" s="327"/>
      <c r="H3" s="327"/>
      <c r="I3" s="327"/>
      <c r="J3" s="390"/>
      <c r="K3" s="220"/>
      <c r="L3" s="480"/>
      <c r="M3" s="225"/>
      <c r="N3" s="225"/>
      <c r="O3" s="225"/>
      <c r="P3" s="225"/>
      <c r="Q3" s="225"/>
      <c r="R3" s="225"/>
      <c r="S3" s="481"/>
      <c r="T3" s="220"/>
    </row>
    <row r="4" spans="2:20" ht="17.25">
      <c r="B4" s="391"/>
      <c r="C4" s="392"/>
      <c r="D4" s="392"/>
      <c r="E4" s="214"/>
      <c r="F4" s="214"/>
      <c r="G4" s="214"/>
      <c r="H4" s="214"/>
      <c r="I4" s="214"/>
      <c r="J4" s="393"/>
      <c r="K4" s="220"/>
      <c r="L4" s="235"/>
      <c r="M4" s="220"/>
      <c r="N4" s="220"/>
      <c r="O4" s="220"/>
      <c r="P4" s="220"/>
      <c r="Q4" s="220"/>
      <c r="R4" s="220"/>
      <c r="S4" s="482"/>
      <c r="T4" s="220"/>
    </row>
    <row r="5" spans="2:20" ht="17.25">
      <c r="B5" s="329" t="s">
        <v>621</v>
      </c>
      <c r="C5" s="392"/>
      <c r="D5" s="490"/>
      <c r="E5" s="340">
        <v>2</v>
      </c>
      <c r="F5" s="491"/>
      <c r="G5" s="214"/>
      <c r="H5" s="214"/>
      <c r="I5" s="214"/>
      <c r="J5" s="393"/>
      <c r="K5" s="220"/>
      <c r="L5" s="235"/>
      <c r="M5" s="220"/>
      <c r="N5" s="220"/>
      <c r="O5" s="220"/>
      <c r="P5" s="220"/>
      <c r="Q5" s="220"/>
      <c r="R5" s="220"/>
      <c r="S5" s="482"/>
      <c r="T5" s="220"/>
    </row>
    <row r="6" spans="2:20">
      <c r="B6" s="394"/>
      <c r="C6" s="214"/>
      <c r="D6" s="214"/>
      <c r="E6" s="214"/>
      <c r="F6" s="214"/>
      <c r="G6" s="214"/>
      <c r="H6" s="214"/>
      <c r="I6" s="214"/>
      <c r="J6" s="214"/>
      <c r="K6" s="220"/>
      <c r="L6" s="235"/>
      <c r="M6" s="220"/>
      <c r="N6" s="220"/>
      <c r="O6" s="220"/>
      <c r="P6" s="220"/>
      <c r="Q6" s="220"/>
      <c r="R6" s="220"/>
      <c r="S6" s="482"/>
      <c r="T6" s="220"/>
    </row>
    <row r="7" spans="2:20">
      <c r="B7" s="11"/>
      <c r="C7" s="12" t="s">
        <v>57</v>
      </c>
      <c r="D7" s="13" t="s">
        <v>5</v>
      </c>
      <c r="E7" s="13" t="s">
        <v>6</v>
      </c>
      <c r="F7" s="14" t="s">
        <v>7</v>
      </c>
      <c r="G7" s="15" t="s">
        <v>8</v>
      </c>
      <c r="H7" s="13" t="s">
        <v>9</v>
      </c>
      <c r="I7" s="15" t="s">
        <v>10</v>
      </c>
      <c r="J7" s="16" t="s">
        <v>11</v>
      </c>
      <c r="K7" s="220"/>
      <c r="L7" s="235"/>
      <c r="M7" s="220"/>
      <c r="N7" s="220"/>
      <c r="O7" s="220"/>
      <c r="P7" s="220"/>
      <c r="Q7" s="220"/>
      <c r="R7" s="220"/>
      <c r="S7" s="482"/>
      <c r="T7" s="220"/>
    </row>
    <row r="8" spans="2:20">
      <c r="B8" s="17" t="s">
        <v>13</v>
      </c>
      <c r="C8" s="18" t="s">
        <v>37</v>
      </c>
      <c r="D8" s="19">
        <v>50</v>
      </c>
      <c r="E8" s="19">
        <v>2000</v>
      </c>
      <c r="F8" s="19">
        <v>500</v>
      </c>
      <c r="G8" s="19">
        <v>500</v>
      </c>
      <c r="H8" s="19">
        <v>0</v>
      </c>
      <c r="I8" s="19">
        <v>0</v>
      </c>
      <c r="J8" s="20" t="s">
        <v>38</v>
      </c>
      <c r="K8" s="220"/>
      <c r="L8" s="235"/>
      <c r="M8" s="220"/>
      <c r="N8" s="220"/>
      <c r="O8" s="220"/>
      <c r="P8" s="220"/>
      <c r="Q8" s="220"/>
      <c r="R8" s="220"/>
      <c r="S8" s="482"/>
      <c r="T8" s="220"/>
    </row>
    <row r="9" spans="2:20" ht="13.8" customHeight="1">
      <c r="B9" s="21"/>
      <c r="C9" s="18" t="s">
        <v>39</v>
      </c>
      <c r="D9" s="19">
        <v>50</v>
      </c>
      <c r="E9" s="19">
        <v>2000</v>
      </c>
      <c r="F9" s="19">
        <v>500</v>
      </c>
      <c r="G9" s="19">
        <v>500</v>
      </c>
      <c r="H9" s="19">
        <v>0</v>
      </c>
      <c r="I9" s="19">
        <v>0</v>
      </c>
      <c r="J9" s="20" t="s">
        <v>38</v>
      </c>
      <c r="K9" s="220"/>
      <c r="L9" s="483"/>
      <c r="M9" s="220"/>
      <c r="N9" s="220"/>
      <c r="O9" s="220"/>
      <c r="P9" s="220"/>
      <c r="Q9" s="220"/>
      <c r="R9" s="220"/>
      <c r="S9" s="482"/>
      <c r="T9" s="220"/>
    </row>
    <row r="10" spans="2:20">
      <c r="B10" s="21"/>
      <c r="C10" s="18" t="s">
        <v>40</v>
      </c>
      <c r="D10" s="19">
        <v>50</v>
      </c>
      <c r="E10" s="19">
        <v>2000</v>
      </c>
      <c r="F10" s="19">
        <v>500</v>
      </c>
      <c r="G10" s="19">
        <v>500</v>
      </c>
      <c r="H10" s="19">
        <v>0</v>
      </c>
      <c r="I10" s="19">
        <v>0</v>
      </c>
      <c r="J10" s="20" t="s">
        <v>38</v>
      </c>
      <c r="K10" s="484"/>
      <c r="L10" s="485"/>
      <c r="M10" s="220"/>
      <c r="N10" s="220"/>
      <c r="O10" s="220"/>
      <c r="P10" s="220"/>
      <c r="Q10" s="220"/>
      <c r="R10" s="220"/>
      <c r="S10" s="482"/>
      <c r="T10" s="220"/>
    </row>
    <row r="11" spans="2:20">
      <c r="B11" s="21"/>
      <c r="C11" s="18" t="s">
        <v>41</v>
      </c>
      <c r="D11" s="19">
        <v>50</v>
      </c>
      <c r="E11" s="19">
        <v>2000</v>
      </c>
      <c r="F11" s="19">
        <v>500</v>
      </c>
      <c r="G11" s="19">
        <v>500</v>
      </c>
      <c r="H11" s="19">
        <v>0</v>
      </c>
      <c r="I11" s="19">
        <v>0</v>
      </c>
      <c r="J11" s="20" t="s">
        <v>38</v>
      </c>
      <c r="K11" s="484"/>
      <c r="L11" s="485"/>
      <c r="M11" s="484"/>
      <c r="N11" s="220"/>
      <c r="O11" s="220"/>
      <c r="P11" s="220"/>
      <c r="Q11" s="220"/>
      <c r="R11" s="220"/>
      <c r="S11" s="482"/>
      <c r="T11" s="220"/>
    </row>
    <row r="12" spans="2:20">
      <c r="B12" s="22"/>
      <c r="C12" s="23" t="s">
        <v>42</v>
      </c>
      <c r="D12" s="24">
        <f t="shared" ref="D12:I12" si="0">AVERAGE(D8:D11)</f>
        <v>50</v>
      </c>
      <c r="E12" s="24">
        <f t="shared" si="0"/>
        <v>2000</v>
      </c>
      <c r="F12" s="24">
        <f t="shared" si="0"/>
        <v>500</v>
      </c>
      <c r="G12" s="24">
        <f t="shared" si="0"/>
        <v>500</v>
      </c>
      <c r="H12" s="24">
        <f t="shared" si="0"/>
        <v>0</v>
      </c>
      <c r="I12" s="24">
        <f t="shared" si="0"/>
        <v>0</v>
      </c>
      <c r="J12" s="25" t="s">
        <v>38</v>
      </c>
      <c r="K12" s="484"/>
      <c r="L12" s="235"/>
      <c r="M12" s="331"/>
      <c r="N12" s="331"/>
      <c r="O12" s="331"/>
      <c r="P12" s="331"/>
      <c r="Q12" s="220"/>
      <c r="R12" s="220"/>
      <c r="S12" s="482"/>
      <c r="T12" s="220"/>
    </row>
    <row r="13" spans="2:20">
      <c r="B13" s="18"/>
      <c r="C13" s="18"/>
      <c r="D13" s="18"/>
      <c r="E13" s="18"/>
      <c r="F13" s="18"/>
      <c r="G13" s="18"/>
      <c r="H13" s="18"/>
      <c r="I13" s="18"/>
      <c r="J13" s="26"/>
      <c r="K13" s="484"/>
      <c r="L13" s="235"/>
      <c r="M13" s="484"/>
      <c r="N13" s="220"/>
      <c r="O13" s="220"/>
      <c r="P13" s="220"/>
      <c r="Q13" s="484"/>
      <c r="R13" s="220"/>
      <c r="S13" s="482"/>
      <c r="T13" s="220"/>
    </row>
    <row r="14" spans="2:20">
      <c r="B14" s="129" t="s">
        <v>15</v>
      </c>
      <c r="C14" s="131" t="s">
        <v>37</v>
      </c>
      <c r="D14" s="178">
        <v>70</v>
      </c>
      <c r="E14" s="178">
        <v>60</v>
      </c>
      <c r="F14" s="178">
        <v>45</v>
      </c>
      <c r="G14" s="178">
        <v>50</v>
      </c>
      <c r="H14" s="178">
        <v>50</v>
      </c>
      <c r="I14" s="178">
        <v>20</v>
      </c>
      <c r="J14" s="179" t="s">
        <v>186</v>
      </c>
      <c r="K14" s="484"/>
      <c r="L14" s="235"/>
      <c r="M14" s="220"/>
      <c r="N14" s="220"/>
      <c r="O14" s="220"/>
      <c r="P14" s="220"/>
      <c r="Q14" s="220"/>
      <c r="R14" s="220"/>
      <c r="S14" s="482"/>
      <c r="T14" s="220"/>
    </row>
    <row r="15" spans="2:20" ht="18" customHeight="1">
      <c r="B15" s="180"/>
      <c r="C15" s="128" t="s">
        <v>39</v>
      </c>
      <c r="D15" s="177">
        <v>65</v>
      </c>
      <c r="E15" s="177">
        <v>55</v>
      </c>
      <c r="F15" s="177">
        <v>45</v>
      </c>
      <c r="G15" s="177">
        <v>50</v>
      </c>
      <c r="H15" s="177">
        <v>50</v>
      </c>
      <c r="I15" s="177">
        <v>25</v>
      </c>
      <c r="J15" s="181" t="s">
        <v>186</v>
      </c>
      <c r="K15" s="220"/>
      <c r="L15" s="235"/>
      <c r="M15" s="220"/>
      <c r="N15" s="220"/>
      <c r="O15" s="220"/>
      <c r="P15" s="220"/>
      <c r="Q15" s="220"/>
      <c r="R15" s="220"/>
      <c r="S15" s="482"/>
      <c r="T15" s="220"/>
    </row>
    <row r="16" spans="2:20">
      <c r="B16" s="180"/>
      <c r="C16" s="128" t="s">
        <v>40</v>
      </c>
      <c r="D16" s="177">
        <v>65</v>
      </c>
      <c r="E16" s="177">
        <v>52</v>
      </c>
      <c r="F16" s="177">
        <v>43</v>
      </c>
      <c r="G16" s="177">
        <v>48</v>
      </c>
      <c r="H16" s="177">
        <v>50</v>
      </c>
      <c r="I16" s="177">
        <v>30</v>
      </c>
      <c r="J16" s="181" t="s">
        <v>186</v>
      </c>
      <c r="K16" s="220"/>
      <c r="L16" s="235"/>
      <c r="M16" s="220"/>
      <c r="N16" s="220"/>
      <c r="O16" s="220"/>
      <c r="P16" s="220"/>
      <c r="Q16" s="220"/>
      <c r="R16" s="220"/>
      <c r="S16" s="482"/>
      <c r="T16" s="220"/>
    </row>
    <row r="17" spans="2:20">
      <c r="B17" s="180"/>
      <c r="C17" s="128" t="s">
        <v>41</v>
      </c>
      <c r="D17" s="177">
        <v>65</v>
      </c>
      <c r="E17" s="177">
        <v>50</v>
      </c>
      <c r="F17" s="177">
        <v>43</v>
      </c>
      <c r="G17" s="177">
        <v>48</v>
      </c>
      <c r="H17" s="177">
        <v>50</v>
      </c>
      <c r="I17" s="177">
        <v>40</v>
      </c>
      <c r="J17" s="181" t="s">
        <v>186</v>
      </c>
      <c r="K17" s="220"/>
      <c r="L17" s="235"/>
      <c r="M17" s="220"/>
      <c r="N17" s="220"/>
      <c r="O17" s="220"/>
      <c r="P17" s="220"/>
      <c r="Q17" s="220"/>
      <c r="R17" s="220"/>
      <c r="S17" s="482"/>
      <c r="T17" s="220"/>
    </row>
    <row r="18" spans="2:20">
      <c r="B18" s="182"/>
      <c r="C18" s="135" t="s">
        <v>42</v>
      </c>
      <c r="D18" s="135">
        <f t="shared" ref="D18:I18" si="1">AVERAGE(D14:D17)</f>
        <v>66.25</v>
      </c>
      <c r="E18" s="135">
        <f t="shared" si="1"/>
        <v>54.25</v>
      </c>
      <c r="F18" s="135">
        <f t="shared" si="1"/>
        <v>44</v>
      </c>
      <c r="G18" s="135">
        <f t="shared" si="1"/>
        <v>49</v>
      </c>
      <c r="H18" s="135">
        <f t="shared" si="1"/>
        <v>50</v>
      </c>
      <c r="I18" s="135">
        <f t="shared" si="1"/>
        <v>28.75</v>
      </c>
      <c r="J18" s="183" t="s">
        <v>186</v>
      </c>
      <c r="K18" s="220"/>
      <c r="L18" s="235"/>
      <c r="M18" s="220"/>
      <c r="N18" s="220"/>
      <c r="O18" s="220"/>
      <c r="P18" s="220"/>
      <c r="Q18" s="220"/>
      <c r="R18" s="220"/>
      <c r="S18" s="482"/>
      <c r="T18" s="220"/>
    </row>
    <row r="19" spans="2:20">
      <c r="B19" s="18"/>
      <c r="C19" s="18"/>
      <c r="D19" s="18"/>
      <c r="E19" s="18"/>
      <c r="F19" s="18"/>
      <c r="G19" s="18"/>
      <c r="H19" s="18"/>
      <c r="I19" s="18"/>
      <c r="J19" s="26"/>
      <c r="K19" s="220"/>
      <c r="L19" s="235"/>
      <c r="M19" s="220"/>
      <c r="N19" s="220"/>
      <c r="O19" s="220"/>
      <c r="P19" s="220"/>
      <c r="Q19" s="220"/>
      <c r="R19" s="220"/>
      <c r="S19" s="482"/>
      <c r="T19" s="220"/>
    </row>
    <row r="20" spans="2:20">
      <c r="B20" s="27" t="s">
        <v>185</v>
      </c>
      <c r="C20" s="28" t="s">
        <v>37</v>
      </c>
      <c r="D20" s="29">
        <v>0.05</v>
      </c>
      <c r="E20" s="31">
        <v>0.11</v>
      </c>
      <c r="F20" s="29">
        <v>0.02</v>
      </c>
      <c r="G20" s="29">
        <v>0.11</v>
      </c>
      <c r="H20" s="29">
        <v>0</v>
      </c>
      <c r="I20" s="29">
        <v>0.2</v>
      </c>
      <c r="J20" s="30" t="s">
        <v>43</v>
      </c>
      <c r="K20" s="220"/>
      <c r="L20" s="235"/>
      <c r="M20" s="220"/>
      <c r="N20" s="220"/>
      <c r="O20" s="220"/>
      <c r="P20" s="220"/>
      <c r="Q20" s="220"/>
      <c r="R20" s="220"/>
      <c r="S20" s="482"/>
      <c r="T20" s="220"/>
    </row>
    <row r="21" spans="2:20" ht="15" customHeight="1">
      <c r="B21" s="21"/>
      <c r="C21" s="18" t="s">
        <v>39</v>
      </c>
      <c r="D21" s="32">
        <v>-0.05</v>
      </c>
      <c r="E21" s="32">
        <v>-0.05</v>
      </c>
      <c r="F21" s="32">
        <v>0</v>
      </c>
      <c r="G21" s="32">
        <v>0</v>
      </c>
      <c r="H21" s="32">
        <v>0</v>
      </c>
      <c r="I21" s="32">
        <v>0.05</v>
      </c>
      <c r="J21" s="20" t="s">
        <v>43</v>
      </c>
      <c r="K21" s="220"/>
      <c r="L21" s="486"/>
      <c r="M21" s="261"/>
      <c r="N21" s="261"/>
      <c r="O21" s="261"/>
      <c r="P21" s="261"/>
      <c r="Q21" s="261"/>
      <c r="R21" s="261"/>
      <c r="S21" s="487"/>
      <c r="T21" s="220"/>
    </row>
    <row r="22" spans="2:20">
      <c r="B22" s="21"/>
      <c r="C22" s="18" t="s">
        <v>40</v>
      </c>
      <c r="D22" s="32">
        <v>0</v>
      </c>
      <c r="E22" s="32">
        <v>-0.03</v>
      </c>
      <c r="F22" s="32">
        <v>-0.02</v>
      </c>
      <c r="G22" s="32">
        <v>-0.02</v>
      </c>
      <c r="H22" s="32">
        <v>0</v>
      </c>
      <c r="I22" s="32">
        <v>0.05</v>
      </c>
      <c r="J22" s="20" t="s">
        <v>43</v>
      </c>
      <c r="K22" s="220"/>
      <c r="L22" s="220" t="s">
        <v>656</v>
      </c>
      <c r="M22" s="220"/>
      <c r="N22" s="220"/>
      <c r="O22" s="220"/>
      <c r="P22" s="220"/>
      <c r="Q22" s="220"/>
      <c r="R22" s="220"/>
      <c r="S22" s="220"/>
      <c r="T22" s="220"/>
    </row>
    <row r="23" spans="2:20">
      <c r="B23" s="21"/>
      <c r="C23" s="18" t="s">
        <v>41</v>
      </c>
      <c r="D23" s="32">
        <v>0</v>
      </c>
      <c r="E23" s="32">
        <v>-0.02</v>
      </c>
      <c r="F23" s="32">
        <v>0</v>
      </c>
      <c r="G23" s="32">
        <v>0</v>
      </c>
      <c r="H23" s="32">
        <v>0</v>
      </c>
      <c r="I23" s="32">
        <v>0.1</v>
      </c>
      <c r="J23" s="20" t="s">
        <v>43</v>
      </c>
      <c r="K23" s="220"/>
      <c r="L23" s="220"/>
      <c r="M23" s="220"/>
      <c r="N23" s="220"/>
      <c r="O23" s="220"/>
      <c r="P23" s="220"/>
      <c r="Q23" s="220"/>
      <c r="R23" s="220"/>
      <c r="S23" s="220"/>
      <c r="T23" s="220"/>
    </row>
    <row r="24" spans="2:20">
      <c r="B24" s="22"/>
      <c r="C24" s="23" t="s">
        <v>42</v>
      </c>
      <c r="D24" s="33">
        <f t="shared" ref="D24:I24" si="2">AVERAGE(D20:D23)</f>
        <v>0</v>
      </c>
      <c r="E24" s="33">
        <f t="shared" si="2"/>
        <v>2.4999999999999996E-3</v>
      </c>
      <c r="F24" s="33">
        <f t="shared" si="2"/>
        <v>0</v>
      </c>
      <c r="G24" s="33">
        <f t="shared" si="2"/>
        <v>2.2499999999999999E-2</v>
      </c>
      <c r="H24" s="33">
        <f t="shared" si="2"/>
        <v>0</v>
      </c>
      <c r="I24" s="33">
        <f t="shared" si="2"/>
        <v>0.1</v>
      </c>
      <c r="J24" s="25" t="s">
        <v>43</v>
      </c>
    </row>
    <row r="25" spans="2:20">
      <c r="B25" s="18"/>
      <c r="C25" s="18"/>
      <c r="D25" s="18"/>
      <c r="E25" s="18"/>
      <c r="F25" s="18"/>
      <c r="G25" s="18"/>
      <c r="H25" s="18"/>
      <c r="I25" s="18"/>
      <c r="J25" s="26"/>
    </row>
    <row r="26" spans="2:20">
      <c r="B26" s="27" t="s">
        <v>18</v>
      </c>
      <c r="C26" s="28" t="s">
        <v>37</v>
      </c>
      <c r="D26" s="29">
        <v>3.2</v>
      </c>
      <c r="E26" s="29">
        <v>3.2</v>
      </c>
      <c r="F26" s="29">
        <v>3.2</v>
      </c>
      <c r="G26" s="29">
        <v>3.2</v>
      </c>
      <c r="H26" s="29">
        <v>3.2</v>
      </c>
      <c r="I26" s="29">
        <v>3.2</v>
      </c>
      <c r="J26" s="30" t="s">
        <v>44</v>
      </c>
    </row>
    <row r="27" spans="2:20" ht="17.25" customHeight="1">
      <c r="B27" s="21"/>
      <c r="C27" s="18" t="s">
        <v>39</v>
      </c>
      <c r="D27" s="19">
        <v>2</v>
      </c>
      <c r="E27" s="19">
        <v>3</v>
      </c>
      <c r="F27" s="19">
        <v>2</v>
      </c>
      <c r="G27" s="19">
        <v>2</v>
      </c>
      <c r="H27" s="19">
        <v>2</v>
      </c>
      <c r="I27" s="19">
        <v>2</v>
      </c>
      <c r="J27" s="20" t="s">
        <v>44</v>
      </c>
    </row>
    <row r="28" spans="2:20">
      <c r="B28" s="21"/>
      <c r="C28" s="18" t="s">
        <v>40</v>
      </c>
      <c r="D28" s="19">
        <v>1.5</v>
      </c>
      <c r="E28" s="19">
        <v>1.8</v>
      </c>
      <c r="F28" s="19">
        <v>1.5</v>
      </c>
      <c r="G28" s="19">
        <v>2</v>
      </c>
      <c r="H28" s="19">
        <v>1</v>
      </c>
      <c r="I28" s="19">
        <v>1.8</v>
      </c>
      <c r="J28" s="20" t="s">
        <v>44</v>
      </c>
    </row>
    <row r="29" spans="2:20">
      <c r="B29" s="21"/>
      <c r="C29" s="18" t="s">
        <v>41</v>
      </c>
      <c r="D29" s="19">
        <v>1</v>
      </c>
      <c r="E29" s="19">
        <v>1</v>
      </c>
      <c r="F29" s="19">
        <v>1</v>
      </c>
      <c r="G29" s="19">
        <v>1.5</v>
      </c>
      <c r="H29" s="19">
        <v>1</v>
      </c>
      <c r="I29" s="19">
        <v>1</v>
      </c>
      <c r="J29" s="20" t="s">
        <v>44</v>
      </c>
    </row>
    <row r="30" spans="2:20">
      <c r="B30" s="22"/>
      <c r="C30" s="23" t="s">
        <v>42</v>
      </c>
      <c r="D30" s="34">
        <f t="shared" ref="D30:I30" si="3">AVERAGE(D26:D29)</f>
        <v>1.925</v>
      </c>
      <c r="E30" s="34">
        <f t="shared" si="3"/>
        <v>2.25</v>
      </c>
      <c r="F30" s="34">
        <f t="shared" si="3"/>
        <v>1.925</v>
      </c>
      <c r="G30" s="34">
        <f t="shared" si="3"/>
        <v>2.1749999999999998</v>
      </c>
      <c r="H30" s="34">
        <f t="shared" si="3"/>
        <v>1.8</v>
      </c>
      <c r="I30" s="34">
        <f t="shared" si="3"/>
        <v>2</v>
      </c>
      <c r="J30" s="25" t="s">
        <v>44</v>
      </c>
    </row>
    <row r="31" spans="2:20">
      <c r="B31" s="18"/>
      <c r="C31" s="18"/>
      <c r="D31" s="18"/>
      <c r="E31" s="18"/>
      <c r="F31" s="18"/>
      <c r="G31" s="18"/>
      <c r="H31" s="18"/>
      <c r="I31" s="18"/>
      <c r="J31" s="26"/>
    </row>
    <row r="32" spans="2:20">
      <c r="B32" s="27" t="s">
        <v>19</v>
      </c>
      <c r="C32" s="28" t="s">
        <v>37</v>
      </c>
      <c r="D32" s="28"/>
      <c r="E32" s="28"/>
      <c r="F32" s="28"/>
      <c r="G32" s="29">
        <v>0.75</v>
      </c>
      <c r="H32" s="28"/>
      <c r="I32" s="28"/>
      <c r="J32" s="30"/>
    </row>
    <row r="33" spans="2:17">
      <c r="B33" s="35" t="s">
        <v>194</v>
      </c>
      <c r="C33" s="18" t="s">
        <v>39</v>
      </c>
      <c r="D33" s="18"/>
      <c r="E33" s="18"/>
      <c r="F33" s="18"/>
      <c r="G33" s="19">
        <v>0</v>
      </c>
      <c r="H33" s="18"/>
      <c r="I33" s="18"/>
      <c r="J33" s="20"/>
    </row>
    <row r="34" spans="2:17">
      <c r="B34" s="35" t="s">
        <v>193</v>
      </c>
      <c r="C34" s="18" t="s">
        <v>40</v>
      </c>
      <c r="D34" s="18"/>
      <c r="E34" s="18"/>
      <c r="F34" s="18"/>
      <c r="G34" s="19">
        <v>0</v>
      </c>
      <c r="H34" s="18"/>
      <c r="I34" s="18"/>
      <c r="J34" s="20"/>
    </row>
    <row r="35" spans="2:17">
      <c r="B35" s="35"/>
      <c r="C35" s="18" t="s">
        <v>41</v>
      </c>
      <c r="D35" s="18"/>
      <c r="E35" s="18"/>
      <c r="F35" s="18"/>
      <c r="G35" s="19">
        <v>0.25</v>
      </c>
      <c r="H35" s="18"/>
      <c r="I35" s="18"/>
      <c r="J35" s="20"/>
    </row>
    <row r="36" spans="2:17">
      <c r="B36" s="22"/>
      <c r="C36" s="23" t="s">
        <v>161</v>
      </c>
      <c r="D36" s="23"/>
      <c r="E36" s="23"/>
      <c r="F36" s="23"/>
      <c r="G36" s="24">
        <f>SUM(G32:G35)</f>
        <v>1</v>
      </c>
      <c r="H36" s="23"/>
      <c r="I36" s="23"/>
      <c r="J36" s="25"/>
    </row>
    <row r="37" spans="2:17">
      <c r="B37" s="18"/>
      <c r="C37" s="18"/>
      <c r="D37" s="18"/>
      <c r="E37" s="18"/>
      <c r="F37" s="18"/>
      <c r="G37" s="492"/>
      <c r="H37" s="18"/>
      <c r="I37" s="18"/>
      <c r="J37" s="26"/>
    </row>
    <row r="38" spans="2:17">
      <c r="B38" s="27" t="s">
        <v>45</v>
      </c>
      <c r="C38" s="28" t="s">
        <v>37</v>
      </c>
      <c r="D38" s="28"/>
      <c r="E38" s="28"/>
      <c r="F38" s="28"/>
      <c r="G38" s="212">
        <v>0.9</v>
      </c>
      <c r="H38" s="28"/>
      <c r="I38" s="28"/>
      <c r="J38" s="30"/>
    </row>
    <row r="39" spans="2:17" ht="13.05" customHeight="1">
      <c r="B39" s="35" t="s">
        <v>196</v>
      </c>
      <c r="C39" s="18" t="s">
        <v>39</v>
      </c>
      <c r="D39" s="18"/>
      <c r="E39" s="18"/>
      <c r="F39" s="18"/>
      <c r="G39" s="213">
        <v>0.9</v>
      </c>
      <c r="H39" s="18"/>
      <c r="I39" s="18"/>
      <c r="J39" s="20"/>
    </row>
    <row r="40" spans="2:17">
      <c r="B40" s="35" t="s">
        <v>195</v>
      </c>
      <c r="C40" s="18" t="s">
        <v>40</v>
      </c>
      <c r="D40" s="18"/>
      <c r="E40" s="18"/>
      <c r="F40" s="18"/>
      <c r="G40" s="213">
        <v>0.9</v>
      </c>
      <c r="H40" s="18"/>
      <c r="I40" s="18"/>
      <c r="J40" s="20"/>
    </row>
    <row r="41" spans="2:17">
      <c r="B41" s="35" t="s">
        <v>671</v>
      </c>
      <c r="C41" s="18" t="s">
        <v>41</v>
      </c>
      <c r="D41" s="18"/>
      <c r="E41" s="18"/>
      <c r="F41" s="18"/>
      <c r="G41" s="213">
        <v>0.9</v>
      </c>
      <c r="H41" s="18"/>
      <c r="I41" s="18"/>
      <c r="J41" s="20"/>
    </row>
    <row r="42" spans="2:17">
      <c r="B42" s="22"/>
      <c r="C42" s="23" t="s">
        <v>42</v>
      </c>
      <c r="D42" s="23"/>
      <c r="E42" s="23"/>
      <c r="F42" s="23"/>
      <c r="G42" s="493">
        <f>AVERAGE(G38:G41)</f>
        <v>0.9</v>
      </c>
      <c r="H42" s="23"/>
      <c r="I42" s="23"/>
      <c r="J42" s="25"/>
    </row>
    <row r="43" spans="2:17">
      <c r="B43" s="18"/>
      <c r="C43" s="18"/>
      <c r="D43" s="18"/>
      <c r="E43" s="18"/>
      <c r="F43" s="18"/>
      <c r="G43" s="18"/>
      <c r="H43" s="18"/>
      <c r="I43" s="18"/>
      <c r="J43" s="26"/>
    </row>
    <row r="44" spans="2:17">
      <c r="B44" s="27" t="s">
        <v>46</v>
      </c>
      <c r="C44" s="28" t="s">
        <v>37</v>
      </c>
      <c r="D44" s="29">
        <v>16</v>
      </c>
      <c r="E44" s="29">
        <v>16</v>
      </c>
      <c r="F44" s="29">
        <v>16</v>
      </c>
      <c r="G44" s="29">
        <v>16</v>
      </c>
      <c r="H44" s="29">
        <v>16</v>
      </c>
      <c r="I44" s="29">
        <v>16</v>
      </c>
      <c r="J44" s="30" t="s">
        <v>33</v>
      </c>
    </row>
    <row r="45" spans="2:17" ht="18.5" customHeight="1">
      <c r="B45" s="21"/>
      <c r="C45" s="18" t="s">
        <v>39</v>
      </c>
      <c r="D45" s="19">
        <v>7</v>
      </c>
      <c r="E45" s="19">
        <v>7</v>
      </c>
      <c r="F45" s="19">
        <v>7</v>
      </c>
      <c r="G45" s="19">
        <v>7</v>
      </c>
      <c r="H45" s="19">
        <v>7</v>
      </c>
      <c r="I45" s="19">
        <v>10</v>
      </c>
      <c r="J45" s="20" t="s">
        <v>33</v>
      </c>
      <c r="K45" s="220"/>
      <c r="L45" s="220"/>
      <c r="M45" s="220"/>
      <c r="N45" s="220"/>
      <c r="O45" s="220"/>
      <c r="P45" s="220"/>
      <c r="Q45" s="220"/>
    </row>
    <row r="46" spans="2:17">
      <c r="B46" s="21"/>
      <c r="C46" s="18" t="s">
        <v>40</v>
      </c>
      <c r="D46" s="19">
        <v>13</v>
      </c>
      <c r="E46" s="19">
        <v>13</v>
      </c>
      <c r="F46" s="19">
        <v>13</v>
      </c>
      <c r="G46" s="19">
        <v>13</v>
      </c>
      <c r="H46" s="19">
        <v>13</v>
      </c>
      <c r="I46" s="19">
        <v>13</v>
      </c>
      <c r="J46" s="20" t="s">
        <v>33</v>
      </c>
    </row>
    <row r="47" spans="2:17">
      <c r="B47" s="21"/>
      <c r="C47" s="18" t="s">
        <v>41</v>
      </c>
      <c r="D47" s="19">
        <v>10</v>
      </c>
      <c r="E47" s="19">
        <v>10</v>
      </c>
      <c r="F47" s="19">
        <v>10</v>
      </c>
      <c r="G47" s="19">
        <v>10</v>
      </c>
      <c r="H47" s="19">
        <v>10</v>
      </c>
      <c r="I47" s="19">
        <v>10</v>
      </c>
      <c r="J47" s="20" t="s">
        <v>33</v>
      </c>
    </row>
    <row r="48" spans="2:17">
      <c r="B48" s="22"/>
      <c r="C48" s="23" t="s">
        <v>42</v>
      </c>
      <c r="D48" s="24">
        <f t="shared" ref="D48:I48" si="4">AVERAGE(D44:D47)</f>
        <v>11.5</v>
      </c>
      <c r="E48" s="24">
        <f t="shared" si="4"/>
        <v>11.5</v>
      </c>
      <c r="F48" s="24">
        <f t="shared" si="4"/>
        <v>11.5</v>
      </c>
      <c r="G48" s="24">
        <f t="shared" si="4"/>
        <v>11.5</v>
      </c>
      <c r="H48" s="24">
        <f t="shared" si="4"/>
        <v>11.5</v>
      </c>
      <c r="I48" s="24">
        <f t="shared" si="4"/>
        <v>12.25</v>
      </c>
      <c r="J48" s="25" t="s">
        <v>33</v>
      </c>
    </row>
    <row r="49" spans="2:10">
      <c r="B49" s="18"/>
      <c r="C49" s="18"/>
      <c r="D49" s="18"/>
      <c r="E49" s="18"/>
      <c r="F49" s="18"/>
      <c r="G49" s="18"/>
      <c r="H49" s="18"/>
      <c r="I49" s="18"/>
      <c r="J49" s="26"/>
    </row>
    <row r="50" spans="2:10">
      <c r="B50" s="27" t="s">
        <v>47</v>
      </c>
      <c r="C50" s="28" t="s">
        <v>37</v>
      </c>
      <c r="D50" s="29">
        <v>70</v>
      </c>
      <c r="E50" s="29">
        <v>70</v>
      </c>
      <c r="F50" s="29">
        <v>70</v>
      </c>
      <c r="G50" s="29">
        <v>70</v>
      </c>
      <c r="H50" s="29">
        <v>70</v>
      </c>
      <c r="I50" s="29">
        <v>70</v>
      </c>
      <c r="J50" s="30" t="s">
        <v>33</v>
      </c>
    </row>
    <row r="51" spans="2:10">
      <c r="B51" s="21"/>
      <c r="C51" s="18" t="s">
        <v>39</v>
      </c>
      <c r="D51" s="19">
        <v>55</v>
      </c>
      <c r="E51" s="19">
        <v>55</v>
      </c>
      <c r="F51" s="19">
        <v>55</v>
      </c>
      <c r="G51" s="19">
        <v>55</v>
      </c>
      <c r="H51" s="19">
        <v>55</v>
      </c>
      <c r="I51" s="19">
        <v>60</v>
      </c>
      <c r="J51" s="20" t="s">
        <v>33</v>
      </c>
    </row>
    <row r="52" spans="2:10">
      <c r="B52" s="21"/>
      <c r="C52" s="18" t="s">
        <v>40</v>
      </c>
      <c r="D52" s="19">
        <v>65</v>
      </c>
      <c r="E52" s="19">
        <v>65</v>
      </c>
      <c r="F52" s="19">
        <v>65</v>
      </c>
      <c r="G52" s="19">
        <v>65</v>
      </c>
      <c r="H52" s="19">
        <v>65</v>
      </c>
      <c r="I52" s="19">
        <v>60</v>
      </c>
      <c r="J52" s="20" t="s">
        <v>33</v>
      </c>
    </row>
    <row r="53" spans="2:10">
      <c r="B53" s="21"/>
      <c r="C53" s="18" t="s">
        <v>41</v>
      </c>
      <c r="D53" s="19">
        <v>60</v>
      </c>
      <c r="E53" s="19">
        <v>60</v>
      </c>
      <c r="F53" s="19">
        <v>60</v>
      </c>
      <c r="G53" s="19">
        <v>60</v>
      </c>
      <c r="H53" s="19">
        <v>60</v>
      </c>
      <c r="I53" s="19">
        <v>60</v>
      </c>
      <c r="J53" s="20" t="s">
        <v>33</v>
      </c>
    </row>
    <row r="54" spans="2:10">
      <c r="B54" s="22"/>
      <c r="C54" s="23" t="s">
        <v>42</v>
      </c>
      <c r="D54" s="36">
        <f t="shared" ref="D54:I54" si="5">AVERAGE(D50:D53)</f>
        <v>62.5</v>
      </c>
      <c r="E54" s="36">
        <f t="shared" si="5"/>
        <v>62.5</v>
      </c>
      <c r="F54" s="36">
        <f t="shared" si="5"/>
        <v>62.5</v>
      </c>
      <c r="G54" s="36">
        <f t="shared" si="5"/>
        <v>62.5</v>
      </c>
      <c r="H54" s="36">
        <f t="shared" si="5"/>
        <v>62.5</v>
      </c>
      <c r="I54" s="36">
        <f t="shared" si="5"/>
        <v>62.5</v>
      </c>
      <c r="J54" s="25" t="s">
        <v>33</v>
      </c>
    </row>
    <row r="55" spans="2:10">
      <c r="B55" s="18"/>
      <c r="C55" s="18"/>
      <c r="D55" s="37"/>
      <c r="E55" s="37"/>
      <c r="F55" s="37"/>
      <c r="G55" s="37"/>
      <c r="H55" s="37"/>
      <c r="I55" s="37"/>
      <c r="J55" s="26"/>
    </row>
    <row r="56" spans="2:10">
      <c r="B56" s="39" t="s">
        <v>49</v>
      </c>
      <c r="C56" s="40"/>
      <c r="D56" s="41">
        <v>6</v>
      </c>
      <c r="E56" s="41">
        <v>6</v>
      </c>
      <c r="F56" s="41">
        <v>5</v>
      </c>
      <c r="G56" s="41">
        <v>5</v>
      </c>
      <c r="H56" s="41">
        <v>6</v>
      </c>
      <c r="I56" s="41">
        <v>2</v>
      </c>
      <c r="J56" s="42" t="s">
        <v>50</v>
      </c>
    </row>
    <row r="57" spans="2:10">
      <c r="B57" s="18"/>
      <c r="C57" s="18"/>
      <c r="D57" s="18"/>
      <c r="E57" s="18"/>
      <c r="F57" s="18"/>
      <c r="G57" s="18"/>
      <c r="H57" s="18"/>
      <c r="I57" s="18"/>
      <c r="J57" s="26"/>
    </row>
    <row r="58" spans="2:10">
      <c r="B58" s="39" t="s">
        <v>51</v>
      </c>
      <c r="C58" s="40"/>
      <c r="D58" s="41">
        <v>75</v>
      </c>
      <c r="E58" s="41">
        <v>80</v>
      </c>
      <c r="F58" s="41">
        <v>75</v>
      </c>
      <c r="G58" s="41">
        <v>75</v>
      </c>
      <c r="H58" s="41">
        <v>75</v>
      </c>
      <c r="I58" s="41">
        <v>75</v>
      </c>
      <c r="J58" s="42" t="s">
        <v>33</v>
      </c>
    </row>
    <row r="59" spans="2:10">
      <c r="B59" s="18"/>
      <c r="C59" s="18"/>
      <c r="D59" s="18"/>
      <c r="E59" s="18"/>
      <c r="F59" s="18"/>
      <c r="G59" s="18"/>
      <c r="H59" s="18"/>
      <c r="I59" s="18"/>
      <c r="J59" s="18"/>
    </row>
    <row r="60" spans="2:10">
      <c r="B60" s="4" t="s">
        <v>32</v>
      </c>
      <c r="C60" s="41">
        <v>45.2</v>
      </c>
      <c r="D60" s="40"/>
      <c r="E60" s="40"/>
      <c r="F60" s="40"/>
      <c r="G60" s="40"/>
      <c r="H60" s="40"/>
      <c r="I60" s="40"/>
      <c r="J60" s="42" t="s">
        <v>33</v>
      </c>
    </row>
    <row r="61" spans="2:10">
      <c r="B61" s="397"/>
      <c r="C61" s="399"/>
      <c r="D61" s="128"/>
      <c r="E61" s="128"/>
      <c r="F61" s="128"/>
      <c r="G61" s="128"/>
      <c r="H61" s="128"/>
      <c r="I61" s="128"/>
      <c r="J61" s="128"/>
    </row>
    <row r="62" spans="2:10">
      <c r="B62" s="397"/>
      <c r="C62" s="399"/>
      <c r="D62" s="214" t="s">
        <v>197</v>
      </c>
      <c r="E62" s="214"/>
      <c r="F62" s="214" t="s">
        <v>198</v>
      </c>
      <c r="G62" s="128"/>
      <c r="H62" s="128"/>
      <c r="I62" s="128"/>
      <c r="J62" s="128"/>
    </row>
    <row r="63" spans="2:10">
      <c r="B63" s="129" t="s">
        <v>24</v>
      </c>
      <c r="C63" s="398"/>
      <c r="D63" s="130">
        <v>100</v>
      </c>
      <c r="E63" s="131"/>
      <c r="F63" s="494">
        <v>0</v>
      </c>
      <c r="G63" s="131"/>
      <c r="H63" s="131"/>
      <c r="I63" s="131"/>
      <c r="J63" s="118" t="s">
        <v>23</v>
      </c>
    </row>
    <row r="64" spans="2:10">
      <c r="B64" s="132" t="s">
        <v>52</v>
      </c>
      <c r="C64" s="134"/>
      <c r="D64" s="133">
        <v>100</v>
      </c>
      <c r="E64" s="135"/>
      <c r="F64" s="495">
        <v>0</v>
      </c>
      <c r="G64" s="135"/>
      <c r="H64" s="135"/>
      <c r="I64" s="135"/>
      <c r="J64" s="119" t="s">
        <v>23</v>
      </c>
    </row>
    <row r="65" spans="2:10">
      <c r="B65" s="18"/>
      <c r="C65" s="18"/>
      <c r="D65" s="214"/>
      <c r="E65" s="214"/>
      <c r="F65" s="214"/>
      <c r="G65" s="18"/>
      <c r="H65" s="18"/>
      <c r="I65" s="18"/>
      <c r="J65" s="18"/>
    </row>
    <row r="66" spans="2:10">
      <c r="B66" s="18"/>
      <c r="C66" s="18"/>
      <c r="D66" s="214" t="s">
        <v>197</v>
      </c>
      <c r="E66" s="214"/>
      <c r="F66" s="214" t="s">
        <v>198</v>
      </c>
      <c r="G66" s="18"/>
      <c r="H66" s="18"/>
      <c r="I66" s="18"/>
      <c r="J66" s="18"/>
    </row>
    <row r="67" spans="2:10">
      <c r="B67" s="129" t="s">
        <v>26</v>
      </c>
      <c r="C67" s="131" t="s">
        <v>37</v>
      </c>
      <c r="D67" s="178">
        <v>0</v>
      </c>
      <c r="E67" s="131"/>
      <c r="F67" s="178">
        <v>0</v>
      </c>
      <c r="G67" s="131"/>
      <c r="H67" s="131"/>
      <c r="I67" s="131"/>
      <c r="J67" s="184" t="s">
        <v>188</v>
      </c>
    </row>
    <row r="68" spans="2:10">
      <c r="B68" s="185"/>
      <c r="C68" s="128" t="s">
        <v>39</v>
      </c>
      <c r="D68" s="177">
        <v>0</v>
      </c>
      <c r="E68" s="128"/>
      <c r="F68" s="177">
        <v>0</v>
      </c>
      <c r="G68" s="128"/>
      <c r="H68" s="128"/>
      <c r="I68" s="128"/>
      <c r="J68" s="186" t="s">
        <v>188</v>
      </c>
    </row>
    <row r="69" spans="2:10">
      <c r="B69" s="185"/>
      <c r="C69" s="128" t="s">
        <v>40</v>
      </c>
      <c r="D69" s="177">
        <v>0</v>
      </c>
      <c r="E69" s="128"/>
      <c r="F69" s="177">
        <v>0</v>
      </c>
      <c r="G69" s="128"/>
      <c r="H69" s="128"/>
      <c r="I69" s="128"/>
      <c r="J69" s="186" t="s">
        <v>188</v>
      </c>
    </row>
    <row r="70" spans="2:10">
      <c r="B70" s="185"/>
      <c r="C70" s="128" t="s">
        <v>41</v>
      </c>
      <c r="D70" s="177">
        <v>0</v>
      </c>
      <c r="E70" s="128"/>
      <c r="F70" s="177">
        <v>0</v>
      </c>
      <c r="G70" s="128"/>
      <c r="H70" s="128"/>
      <c r="I70" s="128"/>
      <c r="J70" s="186" t="s">
        <v>188</v>
      </c>
    </row>
    <row r="71" spans="2:10">
      <c r="B71" s="132"/>
      <c r="C71" s="135" t="s">
        <v>161</v>
      </c>
      <c r="D71" s="135">
        <f>SUM(D67:D70)</f>
        <v>0</v>
      </c>
      <c r="E71" s="135"/>
      <c r="F71" s="135">
        <f>SUM(F67:F70)</f>
        <v>0</v>
      </c>
      <c r="G71" s="135"/>
      <c r="H71" s="135"/>
      <c r="I71" s="135"/>
      <c r="J71" s="187" t="s">
        <v>188</v>
      </c>
    </row>
    <row r="72" spans="2:10">
      <c r="B72" s="18"/>
      <c r="C72" s="18"/>
      <c r="D72" s="18"/>
      <c r="E72" s="18"/>
      <c r="F72" s="18"/>
      <c r="G72" s="18"/>
      <c r="H72" s="18"/>
      <c r="I72" s="18"/>
      <c r="J72" s="18"/>
    </row>
    <row r="73" spans="2:10">
      <c r="B73" s="18"/>
      <c r="C73" s="18"/>
      <c r="D73" s="214" t="s">
        <v>197</v>
      </c>
      <c r="E73" s="214"/>
      <c r="F73" s="214" t="s">
        <v>198</v>
      </c>
      <c r="G73" s="18"/>
      <c r="H73" s="18"/>
      <c r="I73" s="18"/>
      <c r="J73" s="18"/>
    </row>
    <row r="74" spans="2:10">
      <c r="B74" s="129" t="s">
        <v>53</v>
      </c>
      <c r="C74" s="131" t="s">
        <v>37</v>
      </c>
      <c r="D74" s="178">
        <v>50</v>
      </c>
      <c r="E74" s="131"/>
      <c r="F74" s="178">
        <v>0</v>
      </c>
      <c r="G74" s="131"/>
      <c r="H74" s="131"/>
      <c r="I74" s="131"/>
      <c r="J74" s="184" t="s">
        <v>188</v>
      </c>
    </row>
    <row r="75" spans="2:10">
      <c r="B75" s="185"/>
      <c r="C75" s="128" t="s">
        <v>39</v>
      </c>
      <c r="D75" s="177">
        <v>0</v>
      </c>
      <c r="E75" s="128"/>
      <c r="F75" s="177">
        <v>0</v>
      </c>
      <c r="G75" s="128"/>
      <c r="H75" s="128"/>
      <c r="I75" s="128"/>
      <c r="J75" s="186" t="s">
        <v>188</v>
      </c>
    </row>
    <row r="76" spans="2:10">
      <c r="B76" s="185"/>
      <c r="C76" s="128" t="s">
        <v>40</v>
      </c>
      <c r="D76" s="177">
        <v>0</v>
      </c>
      <c r="E76" s="128"/>
      <c r="F76" s="177">
        <v>0</v>
      </c>
      <c r="G76" s="128"/>
      <c r="H76" s="128"/>
      <c r="I76" s="128"/>
      <c r="J76" s="186" t="s">
        <v>188</v>
      </c>
    </row>
    <row r="77" spans="2:10">
      <c r="B77" s="185"/>
      <c r="C77" s="128" t="s">
        <v>41</v>
      </c>
      <c r="D77" s="177">
        <v>0</v>
      </c>
      <c r="E77" s="128"/>
      <c r="F77" s="177">
        <v>0</v>
      </c>
      <c r="G77" s="128"/>
      <c r="H77" s="128"/>
      <c r="I77" s="128"/>
      <c r="J77" s="186" t="s">
        <v>188</v>
      </c>
    </row>
    <row r="78" spans="2:10">
      <c r="B78" s="132"/>
      <c r="C78" s="135" t="s">
        <v>161</v>
      </c>
      <c r="D78" s="135">
        <f>SUM(D74:D77)</f>
        <v>50</v>
      </c>
      <c r="E78" s="135"/>
      <c r="F78" s="135">
        <f>SUM(F74:F77)</f>
        <v>0</v>
      </c>
      <c r="G78" s="135"/>
      <c r="H78" s="135"/>
      <c r="I78" s="135"/>
      <c r="J78" s="187" t="s">
        <v>188</v>
      </c>
    </row>
    <row r="79" spans="2:10">
      <c r="B79" s="18"/>
      <c r="C79" s="18"/>
      <c r="D79" s="18"/>
      <c r="E79" s="18"/>
      <c r="F79" s="18"/>
      <c r="G79" s="18"/>
      <c r="H79" s="18"/>
      <c r="I79" s="18"/>
      <c r="J79" s="18"/>
    </row>
    <row r="80" spans="2:10">
      <c r="B80" s="324" t="s">
        <v>557</v>
      </c>
      <c r="C80" s="325" t="s">
        <v>37</v>
      </c>
      <c r="D80" s="326">
        <v>0</v>
      </c>
      <c r="E80" s="327"/>
      <c r="F80" s="326">
        <v>0</v>
      </c>
      <c r="G80" s="327"/>
      <c r="H80" s="327"/>
      <c r="I80" s="327"/>
      <c r="J80" s="328" t="s">
        <v>188</v>
      </c>
    </row>
    <row r="81" spans="2:10">
      <c r="B81" s="329"/>
      <c r="C81" s="330" t="s">
        <v>39</v>
      </c>
      <c r="D81" s="331">
        <v>0</v>
      </c>
      <c r="E81" s="214"/>
      <c r="F81" s="331">
        <v>0</v>
      </c>
      <c r="G81" s="214"/>
      <c r="H81" s="214"/>
      <c r="I81" s="214"/>
      <c r="J81" s="332" t="s">
        <v>188</v>
      </c>
    </row>
    <row r="82" spans="2:10">
      <c r="B82" s="329"/>
      <c r="C82" s="330" t="s">
        <v>40</v>
      </c>
      <c r="D82" s="331">
        <v>0</v>
      </c>
      <c r="E82" s="214"/>
      <c r="F82" s="331">
        <v>0</v>
      </c>
      <c r="G82" s="214"/>
      <c r="H82" s="214"/>
      <c r="I82" s="214"/>
      <c r="J82" s="332" t="s">
        <v>188</v>
      </c>
    </row>
    <row r="83" spans="2:10">
      <c r="B83" s="329"/>
      <c r="C83" s="330" t="s">
        <v>41</v>
      </c>
      <c r="D83" s="331">
        <v>0</v>
      </c>
      <c r="E83" s="214"/>
      <c r="F83" s="331">
        <v>0</v>
      </c>
      <c r="G83" s="214"/>
      <c r="H83" s="214"/>
      <c r="I83" s="214"/>
      <c r="J83" s="332" t="s">
        <v>188</v>
      </c>
    </row>
    <row r="84" spans="2:10">
      <c r="B84" s="333"/>
      <c r="C84" s="334" t="s">
        <v>161</v>
      </c>
      <c r="D84" s="335">
        <f>SUM(D80:D83)</f>
        <v>0</v>
      </c>
      <c r="E84" s="335"/>
      <c r="F84" s="335">
        <f>SUM(F80:F83)</f>
        <v>0</v>
      </c>
      <c r="G84" s="335"/>
      <c r="H84" s="335"/>
      <c r="I84" s="335"/>
      <c r="J84" s="336" t="s">
        <v>188</v>
      </c>
    </row>
    <row r="85" spans="2:10">
      <c r="B85" s="337"/>
      <c r="C85" s="337"/>
      <c r="D85" s="337"/>
      <c r="E85" s="337"/>
      <c r="F85" s="337"/>
      <c r="G85" s="337"/>
      <c r="H85" s="337"/>
      <c r="I85" s="337"/>
      <c r="J85" s="337"/>
    </row>
    <row r="86" spans="2:10">
      <c r="B86" s="324" t="s">
        <v>558</v>
      </c>
      <c r="C86" s="325" t="s">
        <v>37</v>
      </c>
      <c r="D86" s="326">
        <v>0</v>
      </c>
      <c r="E86" s="327"/>
      <c r="F86" s="326">
        <v>0</v>
      </c>
      <c r="G86" s="327"/>
      <c r="H86" s="327"/>
      <c r="I86" s="327"/>
      <c r="J86" s="328" t="s">
        <v>188</v>
      </c>
    </row>
    <row r="87" spans="2:10">
      <c r="B87" s="329"/>
      <c r="C87" s="330" t="s">
        <v>39</v>
      </c>
      <c r="D87" s="331">
        <v>0</v>
      </c>
      <c r="E87" s="214"/>
      <c r="F87" s="331">
        <v>0</v>
      </c>
      <c r="G87" s="214"/>
      <c r="H87" s="214"/>
      <c r="I87" s="214"/>
      <c r="J87" s="332" t="s">
        <v>188</v>
      </c>
    </row>
    <row r="88" spans="2:10">
      <c r="B88" s="329"/>
      <c r="C88" s="330" t="s">
        <v>40</v>
      </c>
      <c r="D88" s="331">
        <v>0</v>
      </c>
      <c r="E88" s="214"/>
      <c r="F88" s="331">
        <v>0</v>
      </c>
      <c r="G88" s="214"/>
      <c r="H88" s="214"/>
      <c r="I88" s="214"/>
      <c r="J88" s="332" t="s">
        <v>188</v>
      </c>
    </row>
    <row r="89" spans="2:10">
      <c r="B89" s="329"/>
      <c r="C89" s="330" t="s">
        <v>41</v>
      </c>
      <c r="D89" s="331">
        <v>0</v>
      </c>
      <c r="E89" s="214"/>
      <c r="F89" s="331">
        <v>0</v>
      </c>
      <c r="G89" s="214"/>
      <c r="H89" s="214"/>
      <c r="I89" s="214"/>
      <c r="J89" s="332" t="s">
        <v>188</v>
      </c>
    </row>
    <row r="90" spans="2:10">
      <c r="B90" s="333"/>
      <c r="C90" s="334" t="s">
        <v>161</v>
      </c>
      <c r="D90" s="335">
        <f>SUM(D86:D89)</f>
        <v>0</v>
      </c>
      <c r="E90" s="335"/>
      <c r="F90" s="335">
        <f>SUM(F86:F89)</f>
        <v>0</v>
      </c>
      <c r="G90" s="335"/>
      <c r="H90" s="335"/>
      <c r="I90" s="335"/>
      <c r="J90" s="336" t="s">
        <v>188</v>
      </c>
    </row>
    <row r="91" spans="2:10">
      <c r="B91" s="214"/>
      <c r="C91" s="345"/>
      <c r="D91" s="214"/>
      <c r="E91" s="214"/>
      <c r="F91" s="214"/>
      <c r="G91" s="214"/>
      <c r="H91" s="214"/>
      <c r="I91" s="214"/>
      <c r="J91" s="214"/>
    </row>
    <row r="92" spans="2:10">
      <c r="B92" s="129" t="s">
        <v>645</v>
      </c>
      <c r="C92" s="131"/>
      <c r="D92" s="178">
        <v>0</v>
      </c>
      <c r="E92" s="131"/>
      <c r="F92" s="178">
        <v>0</v>
      </c>
      <c r="G92" s="131"/>
      <c r="H92" s="131"/>
      <c r="I92" s="131"/>
      <c r="J92" s="184" t="s">
        <v>188</v>
      </c>
    </row>
    <row r="93" spans="2:10">
      <c r="B93" s="132" t="s">
        <v>646</v>
      </c>
      <c r="C93" s="135"/>
      <c r="D93" s="467">
        <v>50</v>
      </c>
      <c r="E93" s="135"/>
      <c r="F93" s="467">
        <v>0</v>
      </c>
      <c r="G93" s="135"/>
      <c r="H93" s="135"/>
      <c r="I93" s="135"/>
      <c r="J93" s="187" t="s">
        <v>188</v>
      </c>
    </row>
    <row r="94" spans="2:10">
      <c r="B94" s="338"/>
      <c r="C94" s="214"/>
      <c r="D94" s="214">
        <v>1</v>
      </c>
      <c r="E94" s="214"/>
      <c r="F94" s="214"/>
      <c r="G94" s="214"/>
      <c r="H94" s="214"/>
      <c r="I94" s="214"/>
      <c r="J94" s="214"/>
    </row>
    <row r="95" spans="2:10">
      <c r="B95" s="324" t="s">
        <v>559</v>
      </c>
      <c r="C95" s="327" t="s">
        <v>560</v>
      </c>
      <c r="D95" s="326">
        <v>5</v>
      </c>
      <c r="E95" s="327"/>
      <c r="F95" s="327"/>
      <c r="G95" s="327"/>
      <c r="H95" s="327"/>
      <c r="I95" s="327"/>
      <c r="J95" s="328" t="s">
        <v>561</v>
      </c>
    </row>
    <row r="96" spans="2:10">
      <c r="B96" s="339"/>
      <c r="C96" s="335" t="s">
        <v>540</v>
      </c>
      <c r="D96" s="496">
        <v>0.7</v>
      </c>
      <c r="E96" s="335"/>
      <c r="F96" s="335"/>
      <c r="G96" s="335"/>
      <c r="H96" s="335"/>
      <c r="I96" s="335"/>
      <c r="J96" s="336"/>
    </row>
    <row r="97" spans="2:10">
      <c r="B97" s="18"/>
      <c r="C97" s="18"/>
      <c r="D97" s="18"/>
      <c r="E97" s="18"/>
      <c r="F97" s="18"/>
      <c r="G97" s="18"/>
      <c r="H97" s="18"/>
      <c r="I97" s="18"/>
      <c r="J97" s="18"/>
    </row>
    <row r="98" spans="2:10">
      <c r="B98" s="338" t="s">
        <v>562</v>
      </c>
      <c r="C98" s="214" t="s">
        <v>255</v>
      </c>
      <c r="D98" s="340">
        <v>2</v>
      </c>
      <c r="E98" s="214"/>
      <c r="F98" s="214"/>
      <c r="G98" s="214"/>
      <c r="H98" s="214"/>
      <c r="I98" s="214"/>
      <c r="J98" s="18"/>
    </row>
    <row r="99" spans="2:10">
      <c r="B99" s="338"/>
      <c r="C99" s="214"/>
      <c r="D99" s="214"/>
      <c r="E99" s="214"/>
      <c r="F99" s="214"/>
      <c r="G99" s="214"/>
      <c r="H99" s="214"/>
      <c r="I99" s="214"/>
      <c r="J99" s="18"/>
    </row>
    <row r="100" spans="2:10">
      <c r="B100" s="324" t="s">
        <v>27</v>
      </c>
      <c r="C100" s="328"/>
      <c r="D100" s="341">
        <v>3000</v>
      </c>
      <c r="E100" s="327"/>
      <c r="F100" s="327"/>
      <c r="G100" s="327"/>
      <c r="H100" s="327"/>
      <c r="I100" s="328" t="s">
        <v>28</v>
      </c>
      <c r="J100" s="18"/>
    </row>
    <row r="101" spans="2:10">
      <c r="B101" s="342" t="s">
        <v>563</v>
      </c>
      <c r="C101" s="214"/>
      <c r="D101" s="343">
        <v>0</v>
      </c>
      <c r="E101" s="214"/>
      <c r="F101" s="214"/>
      <c r="G101" s="214"/>
      <c r="H101" s="214"/>
      <c r="I101" s="332"/>
      <c r="J101" s="18"/>
    </row>
    <row r="102" spans="2:10">
      <c r="B102" s="339" t="s">
        <v>29</v>
      </c>
      <c r="C102" s="336"/>
      <c r="D102" s="344">
        <f>100*365</f>
        <v>36500</v>
      </c>
      <c r="E102" s="335"/>
      <c r="F102" s="335"/>
      <c r="G102" s="335"/>
      <c r="H102" s="335"/>
      <c r="I102" s="336" t="s">
        <v>30</v>
      </c>
      <c r="J102" s="18"/>
    </row>
    <row r="103" spans="2:10">
      <c r="B103" s="214"/>
      <c r="C103" s="345"/>
      <c r="D103" s="214"/>
      <c r="E103" s="214"/>
      <c r="F103" s="214"/>
      <c r="G103" s="214"/>
      <c r="H103" s="214"/>
      <c r="I103" s="214"/>
      <c r="J103" s="18"/>
    </row>
    <row r="104" spans="2:10">
      <c r="B104" s="346" t="s">
        <v>564</v>
      </c>
      <c r="C104" s="347"/>
      <c r="D104" s="348"/>
      <c r="E104" s="348"/>
      <c r="F104" s="348"/>
      <c r="G104" s="348"/>
      <c r="H104" s="348"/>
      <c r="I104" s="348"/>
      <c r="J104" s="18"/>
    </row>
    <row r="105" spans="2:10">
      <c r="B105" s="349" t="s">
        <v>672</v>
      </c>
      <c r="C105" s="350"/>
      <c r="D105" s="351">
        <v>0</v>
      </c>
      <c r="E105" s="350"/>
      <c r="F105" s="350"/>
      <c r="G105" s="350"/>
      <c r="H105" s="350"/>
      <c r="I105" s="352" t="s">
        <v>565</v>
      </c>
      <c r="J105" s="18"/>
    </row>
    <row r="106" spans="2:10">
      <c r="B106" s="353"/>
      <c r="C106" s="347"/>
      <c r="D106" s="348"/>
      <c r="E106" s="348"/>
      <c r="F106" s="348"/>
      <c r="G106" s="348"/>
      <c r="H106" s="348"/>
      <c r="I106" s="354"/>
      <c r="J106" s="18"/>
    </row>
    <row r="107" spans="2:10">
      <c r="B107" s="353" t="s">
        <v>566</v>
      </c>
      <c r="C107" s="348"/>
      <c r="D107" s="355">
        <v>3</v>
      </c>
      <c r="E107" s="348"/>
      <c r="F107" s="348"/>
      <c r="G107" s="348"/>
      <c r="H107" s="348"/>
      <c r="I107" s="354" t="s">
        <v>567</v>
      </c>
      <c r="J107" s="18"/>
    </row>
    <row r="108" spans="2:10">
      <c r="B108" s="356"/>
      <c r="C108" s="357"/>
      <c r="D108" s="358"/>
      <c r="E108" s="358"/>
      <c r="F108" s="358"/>
      <c r="G108" s="358"/>
      <c r="H108" s="358"/>
      <c r="I108" s="359"/>
      <c r="J108" s="18"/>
    </row>
    <row r="109" spans="2:10">
      <c r="B109" s="214"/>
      <c r="C109" s="214"/>
      <c r="D109" s="214"/>
      <c r="E109" s="214"/>
      <c r="F109" s="214"/>
      <c r="G109" s="214"/>
      <c r="H109" s="214"/>
      <c r="I109" s="214"/>
      <c r="J109" s="18"/>
    </row>
    <row r="110" spans="2:10">
      <c r="B110" s="43" t="s">
        <v>181</v>
      </c>
      <c r="C110" s="18"/>
      <c r="D110" s="18"/>
      <c r="E110" s="18"/>
      <c r="F110" s="18"/>
      <c r="G110" s="18"/>
      <c r="H110" s="18"/>
      <c r="I110" s="18"/>
      <c r="J110" s="18"/>
    </row>
    <row r="111" spans="2:10">
      <c r="B111" s="4" t="s">
        <v>34</v>
      </c>
      <c r="C111" s="40">
        <f>SUM(D111:I111)/1000</f>
        <v>13.575000000000001</v>
      </c>
      <c r="D111" s="40">
        <f t="shared" ref="D111:I111" si="6">(D56*D58%)*D12</f>
        <v>225</v>
      </c>
      <c r="E111" s="40">
        <f t="shared" si="6"/>
        <v>9600.0000000000018</v>
      </c>
      <c r="F111" s="40">
        <f t="shared" si="6"/>
        <v>1875</v>
      </c>
      <c r="G111" s="40">
        <f t="shared" si="6"/>
        <v>1875</v>
      </c>
      <c r="H111" s="40">
        <f t="shared" si="6"/>
        <v>0</v>
      </c>
      <c r="I111" s="40">
        <f t="shared" si="6"/>
        <v>0</v>
      </c>
      <c r="J111" s="418" t="s">
        <v>35</v>
      </c>
    </row>
    <row r="120" spans="3:8">
      <c r="F120" s="44"/>
      <c r="G120" s="1"/>
    </row>
    <row r="121" spans="3:8">
      <c r="F121" s="44"/>
      <c r="G121" s="1"/>
    </row>
    <row r="124" spans="3:8">
      <c r="C124" s="45"/>
      <c r="D124" s="46"/>
      <c r="E124" s="45"/>
      <c r="F124" s="45"/>
      <c r="G124" s="45"/>
      <c r="H124" s="47"/>
    </row>
    <row r="125" spans="3:8">
      <c r="C125" s="45"/>
      <c r="D125" s="46"/>
      <c r="E125" s="45"/>
      <c r="F125" s="48"/>
      <c r="G125" s="48"/>
      <c r="H125" s="38"/>
    </row>
    <row r="126" spans="3:8">
      <c r="C126" s="45"/>
      <c r="D126" s="46"/>
      <c r="E126" s="48"/>
      <c r="F126" s="48"/>
      <c r="G126" s="48"/>
      <c r="H126" s="38"/>
    </row>
    <row r="127" spans="3:8">
      <c r="C127" s="45"/>
      <c r="D127" s="46"/>
      <c r="E127" s="48"/>
      <c r="F127" s="48"/>
      <c r="G127" s="48"/>
      <c r="H127" s="38"/>
    </row>
  </sheetData>
  <sheetProtection sheet="1" objects="1" scenarios="1"/>
  <mergeCells count="1">
    <mergeCell ref="I1:J1"/>
  </mergeCells>
  <pageMargins left="0.74803149606299213" right="0.74803149606299213" top="0.98425196850393704" bottom="0.98425196850393704" header="0.511811023622047" footer="0.511811023622047"/>
  <pageSetup paperSize="9" scale="94"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9" r:id="rId4" name="Drop Down 35">
              <controlPr defaultSize="0" autoFill="0" autoLine="0" autoPict="0">
                <anchor moveWithCells="1">
                  <from>
                    <xdr:col>2</xdr:col>
                    <xdr:colOff>1042988</xdr:colOff>
                    <xdr:row>96</xdr:row>
                    <xdr:rowOff>166688</xdr:rowOff>
                  </from>
                  <to>
                    <xdr:col>5</xdr:col>
                    <xdr:colOff>590550</xdr:colOff>
                    <xdr:row>98</xdr:row>
                    <xdr:rowOff>28575</xdr:rowOff>
                  </to>
                </anchor>
              </controlPr>
            </control>
          </mc:Choice>
        </mc:AlternateContent>
        <mc:AlternateContent xmlns:mc="http://schemas.openxmlformats.org/markup-compatibility/2006">
          <mc:Choice Requires="x14">
            <control shapeId="1060" r:id="rId5" name="Drop Down 36">
              <controlPr defaultSize="0" autoFill="0" autoLine="0" autoPict="0">
                <anchor moveWithCells="1">
                  <from>
                    <xdr:col>2</xdr:col>
                    <xdr:colOff>1028700</xdr:colOff>
                    <xdr:row>105</xdr:row>
                    <xdr:rowOff>157163</xdr:rowOff>
                  </from>
                  <to>
                    <xdr:col>5</xdr:col>
                    <xdr:colOff>552450</xdr:colOff>
                    <xdr:row>107</xdr:row>
                    <xdr:rowOff>19050</xdr:rowOff>
                  </to>
                </anchor>
              </controlPr>
            </control>
          </mc:Choice>
        </mc:AlternateContent>
        <mc:AlternateContent xmlns:mc="http://schemas.openxmlformats.org/markup-compatibility/2006">
          <mc:Choice Requires="x14">
            <control shapeId="1066" r:id="rId6" name="Drop Down 1">
              <controlPr defaultSize="0" autoFill="0" autoLine="0" autoPict="0">
                <anchor moveWithCells="1">
                  <from>
                    <xdr:col>3</xdr:col>
                    <xdr:colOff>971550</xdr:colOff>
                    <xdr:row>1</xdr:row>
                    <xdr:rowOff>195263</xdr:rowOff>
                  </from>
                  <to>
                    <xdr:col>5</xdr:col>
                    <xdr:colOff>733425</xdr:colOff>
                    <xdr:row>3</xdr:row>
                    <xdr:rowOff>9525</xdr:rowOff>
                  </to>
                </anchor>
              </controlPr>
            </control>
          </mc:Choice>
        </mc:AlternateContent>
        <mc:AlternateContent xmlns:mc="http://schemas.openxmlformats.org/markup-compatibility/2006">
          <mc:Choice Requires="x14">
            <control shapeId="1068" r:id="rId7" name="Drop Down 44">
              <controlPr defaultSize="0" autoFill="0" autoLine="0" autoPict="0">
                <anchor moveWithCells="1">
                  <from>
                    <xdr:col>3</xdr:col>
                    <xdr:colOff>957263</xdr:colOff>
                    <xdr:row>3</xdr:row>
                    <xdr:rowOff>204788</xdr:rowOff>
                  </from>
                  <to>
                    <xdr:col>5</xdr:col>
                    <xdr:colOff>438150</xdr:colOff>
                    <xdr:row>5</xdr:row>
                    <xdr:rowOff>23813</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92"/>
  <sheetViews>
    <sheetView showGridLines="0" zoomScale="80" zoomScaleNormal="80" zoomScalePageLayoutView="80" workbookViewId="0"/>
  </sheetViews>
  <sheetFormatPr defaultColWidth="8.796875" defaultRowHeight="15.4"/>
  <cols>
    <col min="1" max="1" width="3.1328125" style="45" customWidth="1"/>
    <col min="2" max="2" width="39.6640625" style="45" customWidth="1"/>
    <col min="3" max="3" width="13.1328125" style="45" customWidth="1"/>
    <col min="4" max="4" width="12.33203125" style="45" bestFit="1" customWidth="1"/>
    <col min="5" max="5" width="12" style="45" bestFit="1" customWidth="1"/>
    <col min="6" max="6" width="17.1328125" style="45" customWidth="1"/>
    <col min="7" max="7" width="13.796875" style="45" customWidth="1"/>
    <col min="8" max="8" width="12.33203125" style="45" customWidth="1"/>
    <col min="9" max="9" width="20" style="45" customWidth="1"/>
    <col min="10" max="10" width="8.796875" style="50" customWidth="1"/>
    <col min="11" max="11" width="18.46484375" style="45" customWidth="1"/>
    <col min="12" max="12" width="37.33203125" style="45" customWidth="1"/>
    <col min="13" max="13" width="10.33203125" style="45" customWidth="1"/>
    <col min="14" max="14" width="11" style="45" customWidth="1"/>
    <col min="15" max="15" width="10.6640625" style="45" customWidth="1"/>
    <col min="16" max="16" width="17" style="45" customWidth="1"/>
    <col min="17" max="17" width="14.33203125" style="45" customWidth="1"/>
    <col min="18" max="18" width="11.6640625" style="45" customWidth="1"/>
    <col min="19" max="19" width="19.46484375" style="45" customWidth="1"/>
    <col min="20" max="20" width="17" style="45" customWidth="1"/>
    <col min="21" max="21" width="19.46484375" style="51" customWidth="1"/>
    <col min="22" max="23" width="25.46484375" style="45" customWidth="1"/>
    <col min="24" max="16384" width="8.796875" style="45"/>
  </cols>
  <sheetData>
    <row r="1" spans="2:23" ht="25.05" customHeight="1">
      <c r="B1" s="49" t="s">
        <v>55</v>
      </c>
    </row>
    <row r="2" spans="2:23" ht="15" customHeight="1">
      <c r="B2" s="49"/>
    </row>
    <row r="3" spans="2:23">
      <c r="B3" s="52" t="s">
        <v>56</v>
      </c>
      <c r="C3" s="52" t="s">
        <v>57</v>
      </c>
      <c r="D3" s="52" t="str">
        <f>'Data input'!D7</f>
        <v>Rams</v>
      </c>
      <c r="E3" s="52" t="str">
        <f>'Data input'!E7</f>
        <v>Wethers</v>
      </c>
      <c r="F3" s="52" t="str">
        <f>'Data input'!F7</f>
        <v>Maiden breeding ewes</v>
      </c>
      <c r="G3" s="52" t="str">
        <f>'Data input'!G7</f>
        <v>Breeding ewes</v>
      </c>
      <c r="H3" s="52" t="str">
        <f>'Data input'!H7</f>
        <v>Other ewes</v>
      </c>
      <c r="I3" s="52" t="str">
        <f>'Data input'!I7</f>
        <v>Lambs and hoggets</v>
      </c>
      <c r="J3" s="52" t="str">
        <f>'Data input'!J7</f>
        <v>Units</v>
      </c>
      <c r="L3" s="52" t="s">
        <v>58</v>
      </c>
      <c r="M3" s="52" t="s">
        <v>57</v>
      </c>
      <c r="N3" s="52" t="str">
        <f>'Data input'!D7</f>
        <v>Rams</v>
      </c>
      <c r="O3" s="52" t="str">
        <f>'Data input'!E7</f>
        <v>Wethers</v>
      </c>
      <c r="P3" s="52" t="str">
        <f>'Data input'!F7</f>
        <v>Maiden breeding ewes</v>
      </c>
      <c r="Q3" s="52" t="str">
        <f>'Data input'!G7</f>
        <v>Breeding ewes</v>
      </c>
      <c r="R3" s="52" t="str">
        <f>'Data input'!H7</f>
        <v>Other ewes</v>
      </c>
      <c r="S3" s="52" t="str">
        <f>'Data input'!I7</f>
        <v>Lambs and hoggets</v>
      </c>
      <c r="T3" s="52" t="str">
        <f>'Data input'!J7</f>
        <v>Units</v>
      </c>
      <c r="U3" s="53" t="s">
        <v>187</v>
      </c>
      <c r="V3" s="53" t="s">
        <v>199</v>
      </c>
      <c r="W3" s="53" t="s">
        <v>522</v>
      </c>
    </row>
    <row r="4" spans="2:23">
      <c r="B4" s="54"/>
      <c r="C4" s="54"/>
      <c r="D4" s="54"/>
      <c r="E4" s="54"/>
      <c r="F4" s="54"/>
      <c r="G4" s="54"/>
      <c r="H4" s="54"/>
      <c r="I4" s="54"/>
      <c r="J4" s="55"/>
      <c r="L4" s="54"/>
      <c r="M4" s="54"/>
      <c r="N4" s="54"/>
      <c r="O4" s="54"/>
      <c r="P4" s="54"/>
      <c r="Q4" s="54"/>
      <c r="R4" s="54"/>
      <c r="S4" s="54"/>
      <c r="T4" s="54"/>
      <c r="U4" s="56"/>
      <c r="V4" s="56"/>
      <c r="W4" s="56"/>
    </row>
    <row r="5" spans="2:23">
      <c r="B5" s="57" t="s">
        <v>59</v>
      </c>
      <c r="C5" s="58" t="s">
        <v>37</v>
      </c>
      <c r="D5" s="58">
        <f>'Data input'!D14</f>
        <v>70</v>
      </c>
      <c r="E5" s="58">
        <f>'Data input'!E14</f>
        <v>60</v>
      </c>
      <c r="F5" s="58">
        <f>'Data input'!F14</f>
        <v>45</v>
      </c>
      <c r="G5" s="58">
        <f>'Data input'!G14</f>
        <v>50</v>
      </c>
      <c r="H5" s="58">
        <f>'Data input'!H14</f>
        <v>50</v>
      </c>
      <c r="I5" s="58">
        <f>'Data input'!I14</f>
        <v>20</v>
      </c>
      <c r="J5" s="59" t="str">
        <f>'Data input'!J14</f>
        <v>kg/head</v>
      </c>
      <c r="L5" s="57" t="s">
        <v>60</v>
      </c>
      <c r="M5" s="54"/>
      <c r="N5" s="57" t="s">
        <v>61</v>
      </c>
      <c r="O5" s="54"/>
      <c r="P5" s="54"/>
      <c r="Q5" s="54"/>
      <c r="R5" s="54"/>
      <c r="S5" s="54"/>
      <c r="T5" s="54"/>
      <c r="U5" s="56" t="s">
        <v>62</v>
      </c>
      <c r="V5" s="56" t="s">
        <v>200</v>
      </c>
      <c r="W5" s="56" t="s">
        <v>523</v>
      </c>
    </row>
    <row r="6" spans="2:23">
      <c r="B6" s="54"/>
      <c r="C6" s="58" t="s">
        <v>39</v>
      </c>
      <c r="D6" s="58">
        <f>'Data input'!D15</f>
        <v>65</v>
      </c>
      <c r="E6" s="58">
        <f>'Data input'!E15</f>
        <v>55</v>
      </c>
      <c r="F6" s="58">
        <f>'Data input'!F15</f>
        <v>45</v>
      </c>
      <c r="G6" s="58">
        <f>'Data input'!G15</f>
        <v>50</v>
      </c>
      <c r="H6" s="58">
        <f>'Data input'!H15</f>
        <v>50</v>
      </c>
      <c r="I6" s="58">
        <f>'Data input'!I15</f>
        <v>25</v>
      </c>
      <c r="J6" s="59" t="str">
        <f>'Data input'!J15</f>
        <v>kg/head</v>
      </c>
      <c r="L6" s="54"/>
      <c r="M6" s="54"/>
      <c r="N6" s="54" t="s">
        <v>63</v>
      </c>
      <c r="O6" s="54"/>
      <c r="P6" s="54"/>
      <c r="Q6" s="54"/>
      <c r="R6" s="54"/>
      <c r="S6" s="54"/>
      <c r="T6" s="54"/>
      <c r="U6" s="56"/>
      <c r="V6" s="56"/>
      <c r="W6" s="56"/>
    </row>
    <row r="7" spans="2:23">
      <c r="B7" s="54"/>
      <c r="C7" s="58" t="s">
        <v>40</v>
      </c>
      <c r="D7" s="58">
        <f>'Data input'!D16</f>
        <v>65</v>
      </c>
      <c r="E7" s="58">
        <f>'Data input'!E16</f>
        <v>52</v>
      </c>
      <c r="F7" s="58">
        <f>'Data input'!F16</f>
        <v>43</v>
      </c>
      <c r="G7" s="58">
        <f>'Data input'!G16</f>
        <v>48</v>
      </c>
      <c r="H7" s="58">
        <f>'Data input'!H16</f>
        <v>50</v>
      </c>
      <c r="I7" s="58">
        <f>'Data input'!I16</f>
        <v>30</v>
      </c>
      <c r="J7" s="59" t="str">
        <f>'Data input'!J16</f>
        <v>kg/head</v>
      </c>
      <c r="L7" s="54"/>
      <c r="M7" s="58" t="s">
        <v>37</v>
      </c>
      <c r="N7" s="60">
        <f t="shared" ref="N7:S10" si="0">(((104.7*D15)+(0.307*D5)-15)*D5^0.75)/1000</f>
        <v>1.5635664662315345</v>
      </c>
      <c r="O7" s="60">
        <f t="shared" si="0"/>
        <v>1.3266722980183725</v>
      </c>
      <c r="P7" s="60">
        <f t="shared" si="0"/>
        <v>0.98919258792655118</v>
      </c>
      <c r="Q7" s="60">
        <f t="shared" si="0"/>
        <v>1.0993929471578776</v>
      </c>
      <c r="R7" s="60">
        <f t="shared" si="0"/>
        <v>1.0993929471578776</v>
      </c>
      <c r="S7" s="60">
        <f t="shared" si="0"/>
        <v>0.4658625754563917</v>
      </c>
      <c r="T7" s="54" t="s">
        <v>64</v>
      </c>
      <c r="U7" s="56"/>
      <c r="V7" s="56"/>
      <c r="W7" s="56"/>
    </row>
    <row r="8" spans="2:23">
      <c r="B8" s="54"/>
      <c r="C8" s="58" t="s">
        <v>41</v>
      </c>
      <c r="D8" s="58">
        <f>'Data input'!D17</f>
        <v>65</v>
      </c>
      <c r="E8" s="58">
        <f>'Data input'!E17</f>
        <v>50</v>
      </c>
      <c r="F8" s="58">
        <f>'Data input'!F17</f>
        <v>43</v>
      </c>
      <c r="G8" s="58">
        <f>'Data input'!G17</f>
        <v>48</v>
      </c>
      <c r="H8" s="58">
        <f>'Data input'!H17</f>
        <v>50</v>
      </c>
      <c r="I8" s="58">
        <f>'Data input'!I17</f>
        <v>40</v>
      </c>
      <c r="J8" s="59" t="str">
        <f>'Data input'!J17</f>
        <v>kg/head</v>
      </c>
      <c r="L8" s="54"/>
      <c r="M8" s="58" t="s">
        <v>39</v>
      </c>
      <c r="N8" s="60">
        <f t="shared" si="0"/>
        <v>1.1580752413958721</v>
      </c>
      <c r="O8" s="60">
        <f t="shared" si="0"/>
        <v>0.9596982312536152</v>
      </c>
      <c r="P8" s="60">
        <f t="shared" si="0"/>
        <v>0.77226516609487039</v>
      </c>
      <c r="Q8" s="60">
        <f t="shared" si="0"/>
        <v>0.86462836763961359</v>
      </c>
      <c r="R8" s="60">
        <f t="shared" si="0"/>
        <v>0.86462836763961359</v>
      </c>
      <c r="S8" s="60">
        <f t="shared" si="0"/>
        <v>0.47483261273084421</v>
      </c>
      <c r="T8" s="54" t="s">
        <v>64</v>
      </c>
      <c r="U8" s="56"/>
      <c r="V8" s="56"/>
      <c r="W8" s="56"/>
    </row>
    <row r="9" spans="2:23">
      <c r="B9" s="54"/>
      <c r="C9" s="58"/>
      <c r="D9" s="58"/>
      <c r="E9" s="58"/>
      <c r="F9" s="58"/>
      <c r="G9" s="61"/>
      <c r="H9" s="58"/>
      <c r="I9" s="58"/>
      <c r="J9" s="55"/>
      <c r="L9" s="54"/>
      <c r="M9" s="58" t="s">
        <v>40</v>
      </c>
      <c r="N9" s="60">
        <f t="shared" si="0"/>
        <v>1.3486207988995054</v>
      </c>
      <c r="O9" s="60">
        <f t="shared" si="0"/>
        <v>1.0635112555960096</v>
      </c>
      <c r="P9" s="60">
        <f t="shared" si="0"/>
        <v>0.87583738496773067</v>
      </c>
      <c r="Q9" s="60">
        <f t="shared" si="0"/>
        <v>0.97915122350076966</v>
      </c>
      <c r="R9" s="60">
        <f t="shared" si="0"/>
        <v>1.0211380873184563</v>
      </c>
      <c r="S9" s="60">
        <f t="shared" si="0"/>
        <v>0.56408704344924976</v>
      </c>
      <c r="T9" s="54" t="s">
        <v>64</v>
      </c>
      <c r="U9" s="56"/>
      <c r="V9" s="56"/>
      <c r="W9" s="56"/>
    </row>
    <row r="10" spans="2:23">
      <c r="B10" s="57" t="s">
        <v>47</v>
      </c>
      <c r="C10" s="58" t="s">
        <v>37</v>
      </c>
      <c r="D10" s="58">
        <f>'Data input'!D50</f>
        <v>70</v>
      </c>
      <c r="E10" s="58">
        <f>'Data input'!E50</f>
        <v>70</v>
      </c>
      <c r="F10" s="58">
        <f>'Data input'!F50</f>
        <v>70</v>
      </c>
      <c r="G10" s="58">
        <f>'Data input'!G50</f>
        <v>70</v>
      </c>
      <c r="H10" s="58">
        <f>'Data input'!H50</f>
        <v>70</v>
      </c>
      <c r="I10" s="58">
        <f>'Data input'!I50</f>
        <v>70</v>
      </c>
      <c r="J10" s="59" t="str">
        <f>'Data input'!J50</f>
        <v>%</v>
      </c>
      <c r="L10" s="54"/>
      <c r="M10" s="58" t="s">
        <v>41</v>
      </c>
      <c r="N10" s="60">
        <f t="shared" si="0"/>
        <v>1.253348020147689</v>
      </c>
      <c r="O10" s="60">
        <f t="shared" si="0"/>
        <v>0.94288322747903475</v>
      </c>
      <c r="P10" s="60">
        <f t="shared" si="0"/>
        <v>0.80595219398378493</v>
      </c>
      <c r="Q10" s="60">
        <f t="shared" si="0"/>
        <v>0.90325594784228302</v>
      </c>
      <c r="R10" s="60">
        <f t="shared" si="0"/>
        <v>0.94288322747903475</v>
      </c>
      <c r="S10" s="60">
        <f t="shared" si="0"/>
        <v>0.74875248086684243</v>
      </c>
      <c r="T10" s="54" t="s">
        <v>64</v>
      </c>
      <c r="U10" s="56"/>
      <c r="V10" s="56"/>
      <c r="W10" s="56"/>
    </row>
    <row r="11" spans="2:23">
      <c r="B11" s="54"/>
      <c r="C11" s="58" t="s">
        <v>39</v>
      </c>
      <c r="D11" s="58">
        <f>'Data input'!D51</f>
        <v>55</v>
      </c>
      <c r="E11" s="58">
        <f>'Data input'!E51</f>
        <v>55</v>
      </c>
      <c r="F11" s="58">
        <f>'Data input'!F51</f>
        <v>55</v>
      </c>
      <c r="G11" s="58">
        <f>'Data input'!G51</f>
        <v>55</v>
      </c>
      <c r="H11" s="58">
        <f>'Data input'!H51</f>
        <v>55</v>
      </c>
      <c r="I11" s="58">
        <f>'Data input'!I51</f>
        <v>60</v>
      </c>
      <c r="J11" s="59" t="str">
        <f>'Data input'!J51</f>
        <v>%</v>
      </c>
      <c r="L11" s="54"/>
      <c r="M11" s="54"/>
      <c r="N11" s="54"/>
      <c r="O11" s="54"/>
      <c r="P11" s="54"/>
      <c r="Q11" s="54"/>
      <c r="R11" s="54"/>
      <c r="S11" s="54"/>
      <c r="T11" s="54"/>
      <c r="U11" s="56"/>
      <c r="V11" s="56"/>
      <c r="W11" s="56"/>
    </row>
    <row r="12" spans="2:23">
      <c r="B12" s="54"/>
      <c r="C12" s="58" t="s">
        <v>40</v>
      </c>
      <c r="D12" s="58">
        <f>'Data input'!D52</f>
        <v>65</v>
      </c>
      <c r="E12" s="58">
        <f>'Data input'!E52</f>
        <v>65</v>
      </c>
      <c r="F12" s="58">
        <f>'Data input'!F52</f>
        <v>65</v>
      </c>
      <c r="G12" s="58">
        <f>'Data input'!G52</f>
        <v>65</v>
      </c>
      <c r="H12" s="58">
        <f>'Data input'!H52</f>
        <v>65</v>
      </c>
      <c r="I12" s="58">
        <f>'Data input'!I52</f>
        <v>60</v>
      </c>
      <c r="J12" s="59" t="str">
        <f>'Data input'!J52</f>
        <v>%</v>
      </c>
      <c r="L12" s="57" t="s">
        <v>65</v>
      </c>
      <c r="M12" s="54"/>
      <c r="N12" s="57" t="s">
        <v>66</v>
      </c>
      <c r="O12" s="54"/>
      <c r="P12" s="54"/>
      <c r="Q12" s="54"/>
      <c r="R12" s="54"/>
      <c r="S12" s="54"/>
      <c r="T12" s="54"/>
      <c r="U12" s="56" t="s">
        <v>67</v>
      </c>
      <c r="V12" s="56" t="s">
        <v>201</v>
      </c>
      <c r="W12" s="56" t="s">
        <v>524</v>
      </c>
    </row>
    <row r="13" spans="2:23">
      <c r="B13" s="54"/>
      <c r="C13" s="58" t="s">
        <v>41</v>
      </c>
      <c r="D13" s="58">
        <f>'Data input'!D53</f>
        <v>60</v>
      </c>
      <c r="E13" s="58">
        <f>'Data input'!E53</f>
        <v>60</v>
      </c>
      <c r="F13" s="58">
        <f>'Data input'!F53</f>
        <v>60</v>
      </c>
      <c r="G13" s="58">
        <f>'Data input'!G53</f>
        <v>60</v>
      </c>
      <c r="H13" s="58">
        <f>'Data input'!H53</f>
        <v>60</v>
      </c>
      <c r="I13" s="58">
        <f>'Data input'!I53</f>
        <v>60</v>
      </c>
      <c r="J13" s="59" t="str">
        <f>'Data input'!J53</f>
        <v>%</v>
      </c>
      <c r="L13" s="54"/>
      <c r="M13" s="54"/>
      <c r="N13" s="54" t="s">
        <v>68</v>
      </c>
      <c r="O13" s="54"/>
      <c r="P13" s="54"/>
      <c r="Q13" s="54"/>
      <c r="R13" s="54"/>
      <c r="S13" s="54"/>
      <c r="T13" s="54"/>
      <c r="U13" s="56"/>
      <c r="V13" s="56"/>
      <c r="W13" s="56"/>
    </row>
    <row r="14" spans="2:23">
      <c r="B14" s="54"/>
      <c r="C14" s="58"/>
      <c r="D14" s="58"/>
      <c r="E14" s="58"/>
      <c r="F14" s="58"/>
      <c r="G14" s="58"/>
      <c r="H14" s="58"/>
      <c r="I14" s="58"/>
      <c r="J14" s="55"/>
      <c r="L14" s="54"/>
      <c r="M14" s="58" t="s">
        <v>37</v>
      </c>
      <c r="N14" s="62">
        <f t="shared" ref="N14:S17" si="1">1-EXP(-2*(D20^2))</f>
        <v>0.99999999872459233</v>
      </c>
      <c r="O14" s="62">
        <f t="shared" si="1"/>
        <v>0.99999999872459233</v>
      </c>
      <c r="P14" s="62">
        <f t="shared" si="1"/>
        <v>0.99999999872459233</v>
      </c>
      <c r="Q14" s="62">
        <f t="shared" si="1"/>
        <v>0.99999999872459233</v>
      </c>
      <c r="R14" s="62">
        <f t="shared" si="1"/>
        <v>0.99999999872459233</v>
      </c>
      <c r="S14" s="62">
        <f t="shared" si="1"/>
        <v>0.99999999872459233</v>
      </c>
      <c r="T14" s="54"/>
      <c r="U14" s="56"/>
      <c r="V14" s="56"/>
      <c r="W14" s="56"/>
    </row>
    <row r="15" spans="2:23">
      <c r="B15" s="57" t="s">
        <v>69</v>
      </c>
      <c r="C15" s="58" t="str">
        <f>C10</f>
        <v>Spring</v>
      </c>
      <c r="D15" s="63">
        <f t="shared" ref="D15:I18" si="2">(0.00795*D10)-0.0014</f>
        <v>0.55510000000000004</v>
      </c>
      <c r="E15" s="63">
        <f t="shared" si="2"/>
        <v>0.55510000000000004</v>
      </c>
      <c r="F15" s="63">
        <f t="shared" si="2"/>
        <v>0.55510000000000004</v>
      </c>
      <c r="G15" s="63">
        <f t="shared" si="2"/>
        <v>0.55510000000000004</v>
      </c>
      <c r="H15" s="63">
        <f t="shared" si="2"/>
        <v>0.55510000000000004</v>
      </c>
      <c r="I15" s="63">
        <f t="shared" si="2"/>
        <v>0.55510000000000004</v>
      </c>
      <c r="J15" s="55"/>
      <c r="L15" s="54"/>
      <c r="M15" s="58" t="s">
        <v>39</v>
      </c>
      <c r="N15" s="62">
        <f t="shared" si="1"/>
        <v>0.99966453737209748</v>
      </c>
      <c r="O15" s="62">
        <f t="shared" si="1"/>
        <v>0.99999998477002028</v>
      </c>
      <c r="P15" s="62">
        <f t="shared" si="1"/>
        <v>0.99966453737209748</v>
      </c>
      <c r="Q15" s="62">
        <f t="shared" si="1"/>
        <v>0.99966453737209748</v>
      </c>
      <c r="R15" s="62">
        <f t="shared" si="1"/>
        <v>0.99966453737209748</v>
      </c>
      <c r="S15" s="62">
        <f t="shared" si="1"/>
        <v>0.99966453737209748</v>
      </c>
      <c r="T15" s="54"/>
      <c r="U15" s="56"/>
      <c r="V15" s="56"/>
      <c r="W15" s="56"/>
    </row>
    <row r="16" spans="2:23">
      <c r="B16" s="54"/>
      <c r="C16" s="58" t="str">
        <f>C11</f>
        <v>Summer</v>
      </c>
      <c r="D16" s="63">
        <f t="shared" si="2"/>
        <v>0.43585000000000002</v>
      </c>
      <c r="E16" s="63">
        <f t="shared" si="2"/>
        <v>0.43585000000000002</v>
      </c>
      <c r="F16" s="63">
        <f t="shared" si="2"/>
        <v>0.43585000000000002</v>
      </c>
      <c r="G16" s="63">
        <f t="shared" si="2"/>
        <v>0.43585000000000002</v>
      </c>
      <c r="H16" s="63">
        <f t="shared" si="2"/>
        <v>0.43585000000000002</v>
      </c>
      <c r="I16" s="63">
        <f t="shared" si="2"/>
        <v>0.47560000000000002</v>
      </c>
      <c r="J16" s="55"/>
      <c r="L16" s="54"/>
      <c r="M16" s="58" t="s">
        <v>40</v>
      </c>
      <c r="N16" s="62">
        <f t="shared" si="1"/>
        <v>0.98889100346175773</v>
      </c>
      <c r="O16" s="62">
        <f t="shared" si="1"/>
        <v>0.99846618932067555</v>
      </c>
      <c r="P16" s="62">
        <f t="shared" si="1"/>
        <v>0.98889100346175773</v>
      </c>
      <c r="Q16" s="62">
        <f t="shared" si="1"/>
        <v>0.99966453737209748</v>
      </c>
      <c r="R16" s="62">
        <f t="shared" si="1"/>
        <v>0.8646647167633873</v>
      </c>
      <c r="S16" s="62">
        <f t="shared" si="1"/>
        <v>0.99846618932067555</v>
      </c>
      <c r="T16" s="54"/>
      <c r="U16" s="56"/>
      <c r="V16" s="56"/>
      <c r="W16" s="56"/>
    </row>
    <row r="17" spans="2:23">
      <c r="B17" s="54"/>
      <c r="C17" s="58" t="str">
        <f>C12</f>
        <v>Autumn</v>
      </c>
      <c r="D17" s="63">
        <f t="shared" si="2"/>
        <v>0.51535000000000009</v>
      </c>
      <c r="E17" s="63">
        <f t="shared" si="2"/>
        <v>0.51535000000000009</v>
      </c>
      <c r="F17" s="63">
        <f t="shared" si="2"/>
        <v>0.51535000000000009</v>
      </c>
      <c r="G17" s="63">
        <f t="shared" si="2"/>
        <v>0.51535000000000009</v>
      </c>
      <c r="H17" s="63">
        <f t="shared" si="2"/>
        <v>0.51535000000000009</v>
      </c>
      <c r="I17" s="63">
        <f t="shared" si="2"/>
        <v>0.47560000000000002</v>
      </c>
      <c r="J17" s="55"/>
      <c r="L17" s="54"/>
      <c r="M17" s="58" t="s">
        <v>41</v>
      </c>
      <c r="N17" s="62">
        <f t="shared" si="1"/>
        <v>0.8646647167633873</v>
      </c>
      <c r="O17" s="62">
        <f t="shared" si="1"/>
        <v>0.8646647167633873</v>
      </c>
      <c r="P17" s="62">
        <f t="shared" si="1"/>
        <v>0.8646647167633873</v>
      </c>
      <c r="Q17" s="62">
        <f t="shared" si="1"/>
        <v>0.98889100346175773</v>
      </c>
      <c r="R17" s="62">
        <f t="shared" si="1"/>
        <v>0.8646647167633873</v>
      </c>
      <c r="S17" s="62">
        <f t="shared" si="1"/>
        <v>0.8646647167633873</v>
      </c>
      <c r="T17" s="54"/>
      <c r="U17" s="56"/>
      <c r="V17" s="56"/>
      <c r="W17" s="56"/>
    </row>
    <row r="18" spans="2:23">
      <c r="B18" s="54"/>
      <c r="C18" s="58" t="str">
        <f>C13</f>
        <v>Winter</v>
      </c>
      <c r="D18" s="63">
        <f t="shared" si="2"/>
        <v>0.47560000000000002</v>
      </c>
      <c r="E18" s="63">
        <f t="shared" si="2"/>
        <v>0.47560000000000002</v>
      </c>
      <c r="F18" s="63">
        <f t="shared" si="2"/>
        <v>0.47560000000000002</v>
      </c>
      <c r="G18" s="63">
        <f t="shared" si="2"/>
        <v>0.47560000000000002</v>
      </c>
      <c r="H18" s="63">
        <f t="shared" si="2"/>
        <v>0.47560000000000002</v>
      </c>
      <c r="I18" s="63">
        <f t="shared" si="2"/>
        <v>0.47560000000000002</v>
      </c>
      <c r="J18" s="55"/>
      <c r="L18" s="54"/>
      <c r="M18" s="54"/>
      <c r="N18" s="54"/>
      <c r="O18" s="54"/>
      <c r="P18" s="54"/>
      <c r="Q18" s="54"/>
      <c r="R18" s="54"/>
      <c r="S18" s="54"/>
      <c r="T18" s="54"/>
      <c r="U18" s="56"/>
      <c r="V18" s="56"/>
      <c r="W18" s="56"/>
    </row>
    <row r="19" spans="2:23">
      <c r="B19" s="54"/>
      <c r="C19" s="58"/>
      <c r="D19" s="58"/>
      <c r="E19" s="58"/>
      <c r="F19" s="58"/>
      <c r="G19" s="58"/>
      <c r="H19" s="58"/>
      <c r="I19" s="58"/>
      <c r="J19" s="55"/>
      <c r="L19" s="57" t="s">
        <v>70</v>
      </c>
      <c r="M19" s="54"/>
      <c r="N19" s="57" t="s">
        <v>71</v>
      </c>
      <c r="O19" s="54"/>
      <c r="P19" s="54"/>
      <c r="Q19" s="54"/>
      <c r="R19" s="54"/>
      <c r="S19" s="54"/>
      <c r="T19" s="54"/>
      <c r="U19" s="56" t="s">
        <v>72</v>
      </c>
      <c r="V19" s="56" t="s">
        <v>202</v>
      </c>
      <c r="W19" s="56" t="s">
        <v>523</v>
      </c>
    </row>
    <row r="20" spans="2:23">
      <c r="B20" s="57" t="s">
        <v>73</v>
      </c>
      <c r="C20" s="58" t="str">
        <f>C15</f>
        <v>Spring</v>
      </c>
      <c r="D20" s="58">
        <f>'Data input'!D26</f>
        <v>3.2</v>
      </c>
      <c r="E20" s="58">
        <f>'Data input'!E26</f>
        <v>3.2</v>
      </c>
      <c r="F20" s="58">
        <f>'Data input'!F26</f>
        <v>3.2</v>
      </c>
      <c r="G20" s="58">
        <f>'Data input'!G26</f>
        <v>3.2</v>
      </c>
      <c r="H20" s="58">
        <f>'Data input'!H26</f>
        <v>3.2</v>
      </c>
      <c r="I20" s="58">
        <f>'Data input'!I26</f>
        <v>3.2</v>
      </c>
      <c r="J20" s="59" t="str">
        <f>'Data input'!J26</f>
        <v>t/ha</v>
      </c>
      <c r="L20" s="54"/>
      <c r="M20" s="54"/>
      <c r="N20" s="54" t="s">
        <v>74</v>
      </c>
      <c r="O20" s="54"/>
      <c r="P20" s="54"/>
      <c r="Q20" s="54"/>
      <c r="R20" s="54"/>
      <c r="S20" s="54"/>
      <c r="T20" s="54"/>
      <c r="U20" s="56"/>
      <c r="V20" s="56"/>
      <c r="W20" s="56"/>
    </row>
    <row r="21" spans="2:23">
      <c r="B21" s="54"/>
      <c r="C21" s="58" t="str">
        <f>C16</f>
        <v>Summer</v>
      </c>
      <c r="D21" s="58">
        <f>'Data input'!D27</f>
        <v>2</v>
      </c>
      <c r="E21" s="58">
        <f>'Data input'!E27</f>
        <v>3</v>
      </c>
      <c r="F21" s="58">
        <f>'Data input'!F27</f>
        <v>2</v>
      </c>
      <c r="G21" s="58">
        <f>'Data input'!G27</f>
        <v>2</v>
      </c>
      <c r="H21" s="58">
        <f>'Data input'!H27</f>
        <v>2</v>
      </c>
      <c r="I21" s="58">
        <f>'Data input'!I27</f>
        <v>2</v>
      </c>
      <c r="J21" s="59" t="str">
        <f>'Data input'!J27</f>
        <v>t/ha</v>
      </c>
      <c r="L21" s="54"/>
      <c r="M21" s="58" t="s">
        <v>37</v>
      </c>
      <c r="N21" s="60">
        <f t="shared" ref="N21:P24" si="3">N7*N14</f>
        <v>1.5635664642373499</v>
      </c>
      <c r="O21" s="60">
        <f t="shared" si="3"/>
        <v>1.3266722963263244</v>
      </c>
      <c r="P21" s="60">
        <f t="shared" si="3"/>
        <v>0.98919258666492738</v>
      </c>
      <c r="Q21" s="60">
        <f>Q7*Q14*Q29</f>
        <v>1.3220200172712335</v>
      </c>
      <c r="R21" s="60">
        <f t="shared" ref="R21:S24" si="4">R7*R14</f>
        <v>1.0993929457557035</v>
      </c>
      <c r="S21" s="60">
        <f t="shared" si="4"/>
        <v>0.46586257486222699</v>
      </c>
      <c r="T21" s="55" t="s">
        <v>64</v>
      </c>
      <c r="U21" s="56"/>
      <c r="V21" s="56"/>
      <c r="W21" s="56"/>
    </row>
    <row r="22" spans="2:23">
      <c r="B22" s="54"/>
      <c r="C22" s="58" t="str">
        <f>C17</f>
        <v>Autumn</v>
      </c>
      <c r="D22" s="58">
        <f>'Data input'!D28</f>
        <v>1.5</v>
      </c>
      <c r="E22" s="58">
        <f>'Data input'!E28</f>
        <v>1.8</v>
      </c>
      <c r="F22" s="58">
        <f>'Data input'!F28</f>
        <v>1.5</v>
      </c>
      <c r="G22" s="58">
        <f>'Data input'!G28</f>
        <v>2</v>
      </c>
      <c r="H22" s="58">
        <f>'Data input'!H28</f>
        <v>1</v>
      </c>
      <c r="I22" s="58">
        <f>'Data input'!I28</f>
        <v>1.8</v>
      </c>
      <c r="J22" s="59" t="str">
        <f>'Data input'!J28</f>
        <v>t/ha</v>
      </c>
      <c r="L22" s="54"/>
      <c r="M22" s="58" t="s">
        <v>39</v>
      </c>
      <c r="N22" s="60">
        <f t="shared" si="3"/>
        <v>1.1576867504320847</v>
      </c>
      <c r="O22" s="60">
        <f t="shared" si="3"/>
        <v>0.9596982166374306</v>
      </c>
      <c r="P22" s="60">
        <f t="shared" si="3"/>
        <v>0.77200609999281467</v>
      </c>
      <c r="Q22" s="60">
        <f>Q8*Q15*Q30</f>
        <v>0.86433831713524611</v>
      </c>
      <c r="R22" s="60">
        <f t="shared" si="4"/>
        <v>0.86433831713524611</v>
      </c>
      <c r="S22" s="60">
        <f t="shared" si="4"/>
        <v>0.47467332413476371</v>
      </c>
      <c r="T22" s="55" t="s">
        <v>64</v>
      </c>
      <c r="U22" s="56"/>
      <c r="V22" s="56"/>
      <c r="W22" s="56"/>
    </row>
    <row r="23" spans="2:23">
      <c r="B23" s="54"/>
      <c r="C23" s="58" t="str">
        <f>C18</f>
        <v>Winter</v>
      </c>
      <c r="D23" s="58">
        <f>'Data input'!D29</f>
        <v>1</v>
      </c>
      <c r="E23" s="58">
        <f>'Data input'!E29</f>
        <v>1</v>
      </c>
      <c r="F23" s="58">
        <f>'Data input'!F29</f>
        <v>1</v>
      </c>
      <c r="G23" s="58">
        <f>'Data input'!G29</f>
        <v>1.5</v>
      </c>
      <c r="H23" s="58">
        <f>'Data input'!H29</f>
        <v>1</v>
      </c>
      <c r="I23" s="58">
        <f>'Data input'!I29</f>
        <v>1</v>
      </c>
      <c r="J23" s="59" t="str">
        <f>'Data input'!J29</f>
        <v>t/ha</v>
      </c>
      <c r="L23" s="54"/>
      <c r="M23" s="58" t="s">
        <v>40</v>
      </c>
      <c r="N23" s="60">
        <f t="shared" si="3"/>
        <v>1.3336389751131292</v>
      </c>
      <c r="O23" s="60">
        <f t="shared" si="3"/>
        <v>1.0618800306745946</v>
      </c>
      <c r="P23" s="60">
        <f t="shared" si="3"/>
        <v>0.86610771049006097</v>
      </c>
      <c r="Q23" s="60">
        <f>Q9*Q16*Q31</f>
        <v>0.97882275485822012</v>
      </c>
      <c r="R23" s="60">
        <f t="shared" si="4"/>
        <v>0.88294207504752009</v>
      </c>
      <c r="S23" s="60">
        <f t="shared" si="4"/>
        <v>0.56322184071793879</v>
      </c>
      <c r="T23" s="55" t="s">
        <v>64</v>
      </c>
      <c r="U23" s="56"/>
      <c r="V23" s="56"/>
      <c r="W23" s="56"/>
    </row>
    <row r="24" spans="2:23">
      <c r="B24" s="54"/>
      <c r="C24" s="54"/>
      <c r="D24" s="54"/>
      <c r="E24" s="54"/>
      <c r="F24" s="54"/>
      <c r="G24" s="54"/>
      <c r="H24" s="54"/>
      <c r="I24" s="54"/>
      <c r="J24" s="55"/>
      <c r="L24" s="54"/>
      <c r="M24" s="58" t="s">
        <v>41</v>
      </c>
      <c r="N24" s="60">
        <f t="shared" si="3"/>
        <v>1.0837258108469536</v>
      </c>
      <c r="O24" s="60">
        <f t="shared" si="3"/>
        <v>0.81527785882910808</v>
      </c>
      <c r="P24" s="60">
        <f t="shared" si="3"/>
        <v>0.69687842553582002</v>
      </c>
      <c r="Q24" s="60">
        <f>Q10*Q17*Q32</f>
        <v>0.95351414408806401</v>
      </c>
      <c r="R24" s="60">
        <f t="shared" si="4"/>
        <v>0.81527785882910808</v>
      </c>
      <c r="S24" s="60">
        <f t="shared" si="4"/>
        <v>0.64741985179461192</v>
      </c>
      <c r="T24" s="55" t="s">
        <v>64</v>
      </c>
      <c r="U24" s="56"/>
      <c r="V24" s="56"/>
      <c r="W24" s="56"/>
    </row>
    <row r="25" spans="2:23">
      <c r="B25" s="57" t="s">
        <v>19</v>
      </c>
      <c r="C25" s="58" t="s">
        <v>37</v>
      </c>
      <c r="D25" s="54"/>
      <c r="E25" s="54"/>
      <c r="F25" s="54"/>
      <c r="G25" s="54">
        <f>'Data input'!G32</f>
        <v>0.75</v>
      </c>
      <c r="H25" s="54"/>
      <c r="I25" s="54"/>
      <c r="J25" s="55"/>
      <c r="L25" s="54"/>
      <c r="M25" s="54"/>
      <c r="N25" s="54"/>
      <c r="O25" s="54"/>
      <c r="P25" s="54"/>
      <c r="Q25" s="54"/>
      <c r="R25" s="54"/>
      <c r="S25" s="54"/>
      <c r="T25" s="54"/>
      <c r="U25" s="56"/>
      <c r="V25" s="56"/>
      <c r="W25" s="56"/>
    </row>
    <row r="26" spans="2:23">
      <c r="B26" s="54" t="s">
        <v>75</v>
      </c>
      <c r="C26" s="58" t="s">
        <v>39</v>
      </c>
      <c r="D26" s="54"/>
      <c r="E26" s="54"/>
      <c r="F26" s="54"/>
      <c r="G26" s="54">
        <f>'Data input'!G33</f>
        <v>0</v>
      </c>
      <c r="H26" s="54"/>
      <c r="I26" s="54"/>
      <c r="J26" s="55"/>
      <c r="L26" s="57" t="s">
        <v>76</v>
      </c>
      <c r="M26" s="54"/>
      <c r="N26" s="57" t="s">
        <v>77</v>
      </c>
      <c r="O26" s="54"/>
      <c r="P26" s="54"/>
      <c r="Q26" s="54"/>
      <c r="R26" s="54"/>
      <c r="S26" s="54"/>
      <c r="T26" s="54"/>
      <c r="U26" s="56" t="s">
        <v>78</v>
      </c>
      <c r="V26" s="56" t="s">
        <v>201</v>
      </c>
      <c r="W26" s="56" t="s">
        <v>523</v>
      </c>
    </row>
    <row r="27" spans="2:23">
      <c r="B27" s="54"/>
      <c r="C27" s="58" t="s">
        <v>40</v>
      </c>
      <c r="D27" s="58"/>
      <c r="E27" s="58"/>
      <c r="F27" s="58"/>
      <c r="G27" s="54">
        <f>'Data input'!G34</f>
        <v>0</v>
      </c>
      <c r="H27" s="58"/>
      <c r="I27" s="58"/>
      <c r="J27" s="55"/>
      <c r="L27" s="54"/>
      <c r="M27" s="54" t="s">
        <v>79</v>
      </c>
      <c r="N27" s="54"/>
      <c r="O27" s="54"/>
      <c r="P27" s="54"/>
      <c r="Q27" s="54"/>
      <c r="R27" s="54"/>
      <c r="S27" s="54"/>
      <c r="T27" s="54"/>
      <c r="U27" s="56"/>
      <c r="V27" s="56"/>
      <c r="W27" s="56"/>
    </row>
    <row r="28" spans="2:23">
      <c r="B28" s="54"/>
      <c r="C28" s="58" t="s">
        <v>41</v>
      </c>
      <c r="D28" s="58"/>
      <c r="E28" s="58"/>
      <c r="F28" s="58"/>
      <c r="G28" s="54">
        <f>'Data input'!G35</f>
        <v>0.25</v>
      </c>
      <c r="H28" s="58"/>
      <c r="I28" s="58"/>
      <c r="J28" s="55"/>
      <c r="L28" s="54"/>
      <c r="M28" s="54" t="s">
        <v>80</v>
      </c>
      <c r="N28" s="54"/>
      <c r="O28" s="54">
        <f>1.3</f>
        <v>1.3</v>
      </c>
      <c r="P28" s="54"/>
      <c r="Q28" s="54"/>
      <c r="R28" s="54"/>
      <c r="S28" s="54"/>
      <c r="T28" s="54"/>
      <c r="U28" s="56"/>
      <c r="V28" s="56"/>
      <c r="W28" s="56"/>
    </row>
    <row r="29" spans="2:23">
      <c r="B29" s="54"/>
      <c r="C29" s="54"/>
      <c r="D29" s="54"/>
      <c r="E29" s="54"/>
      <c r="F29" s="54"/>
      <c r="G29" s="54"/>
      <c r="H29" s="54"/>
      <c r="I29" s="54"/>
      <c r="J29" s="55"/>
      <c r="L29" s="54"/>
      <c r="M29" s="58" t="s">
        <v>37</v>
      </c>
      <c r="N29" s="54"/>
      <c r="O29" s="54"/>
      <c r="P29" s="54"/>
      <c r="Q29" s="64">
        <f>(G35*$O$28)+((1-G35)*1)</f>
        <v>1.2025000000000001</v>
      </c>
      <c r="R29" s="54"/>
      <c r="S29" s="54"/>
      <c r="T29" s="54"/>
      <c r="U29" s="56"/>
      <c r="V29" s="56"/>
      <c r="W29" s="56"/>
    </row>
    <row r="30" spans="2:23">
      <c r="B30" s="57" t="s">
        <v>45</v>
      </c>
      <c r="C30" s="58" t="s">
        <v>37</v>
      </c>
      <c r="D30" s="54"/>
      <c r="E30" s="54"/>
      <c r="F30" s="54"/>
      <c r="G30" s="65">
        <f>'Data input'!G38</f>
        <v>0.9</v>
      </c>
      <c r="H30" s="54"/>
      <c r="I30" s="54"/>
      <c r="J30" s="55"/>
      <c r="L30" s="54"/>
      <c r="M30" s="58" t="s">
        <v>39</v>
      </c>
      <c r="N30" s="54"/>
      <c r="O30" s="54"/>
      <c r="P30" s="54"/>
      <c r="Q30" s="64">
        <f>(G36*$O$28)+((1-G36)*1)</f>
        <v>1</v>
      </c>
      <c r="R30" s="54"/>
      <c r="S30" s="54"/>
      <c r="T30" s="54"/>
      <c r="U30" s="56"/>
      <c r="V30" s="56"/>
      <c r="W30" s="56"/>
    </row>
    <row r="31" spans="2:23">
      <c r="B31" s="54"/>
      <c r="C31" s="58" t="s">
        <v>39</v>
      </c>
      <c r="D31" s="54"/>
      <c r="E31" s="62"/>
      <c r="F31" s="62"/>
      <c r="G31" s="65">
        <f>'Data input'!G39</f>
        <v>0.9</v>
      </c>
      <c r="H31" s="62"/>
      <c r="I31" s="62"/>
      <c r="J31" s="55"/>
      <c r="L31" s="54"/>
      <c r="M31" s="58" t="s">
        <v>40</v>
      </c>
      <c r="N31" s="54"/>
      <c r="O31" s="54"/>
      <c r="P31" s="54"/>
      <c r="Q31" s="64">
        <f>(G37*$O$28)+((1-G37)*1)</f>
        <v>1</v>
      </c>
      <c r="R31" s="54"/>
      <c r="S31" s="54"/>
      <c r="T31" s="54"/>
      <c r="U31" s="56"/>
      <c r="V31" s="56"/>
      <c r="W31" s="56"/>
    </row>
    <row r="32" spans="2:23">
      <c r="B32" s="54"/>
      <c r="C32" s="58" t="s">
        <v>40</v>
      </c>
      <c r="D32" s="62"/>
      <c r="E32" s="62"/>
      <c r="F32" s="62"/>
      <c r="G32" s="65">
        <f>'Data input'!G40</f>
        <v>0.9</v>
      </c>
      <c r="H32" s="62"/>
      <c r="I32" s="62"/>
      <c r="J32" s="55"/>
      <c r="L32" s="54"/>
      <c r="M32" s="58" t="s">
        <v>41</v>
      </c>
      <c r="N32" s="54"/>
      <c r="O32" s="54"/>
      <c r="P32" s="54"/>
      <c r="Q32" s="64">
        <f>(G38*$O$28)+((1-G38)*1)</f>
        <v>1.0675000000000001</v>
      </c>
      <c r="R32" s="54"/>
      <c r="S32" s="54"/>
      <c r="T32" s="54"/>
      <c r="U32" s="56"/>
      <c r="V32" s="56"/>
      <c r="W32" s="56"/>
    </row>
    <row r="33" spans="2:26">
      <c r="B33" s="54"/>
      <c r="C33" s="58" t="s">
        <v>41</v>
      </c>
      <c r="D33" s="62"/>
      <c r="E33" s="120"/>
      <c r="F33" s="120"/>
      <c r="G33" s="121">
        <f>'Data input'!G41</f>
        <v>0.9</v>
      </c>
      <c r="H33" s="120"/>
      <c r="I33" s="120"/>
      <c r="J33" s="122"/>
      <c r="L33" s="54"/>
      <c r="M33" s="54"/>
      <c r="N33" s="54"/>
      <c r="O33" s="54"/>
      <c r="P33" s="54"/>
      <c r="Q33" s="54"/>
      <c r="R33" s="54"/>
      <c r="S33" s="54"/>
      <c r="T33" s="54"/>
      <c r="U33" s="56"/>
      <c r="V33" s="56"/>
      <c r="W33" s="56"/>
    </row>
    <row r="34" spans="2:26">
      <c r="B34" s="54"/>
      <c r="C34" s="58"/>
      <c r="D34" s="62"/>
      <c r="E34" s="120"/>
      <c r="F34" s="120"/>
      <c r="G34" s="120"/>
      <c r="H34" s="120"/>
      <c r="I34" s="120"/>
      <c r="J34" s="122"/>
      <c r="L34" s="57" t="s">
        <v>81</v>
      </c>
      <c r="M34" s="54"/>
      <c r="N34" s="57" t="s">
        <v>82</v>
      </c>
      <c r="O34" s="54"/>
      <c r="P34" s="54"/>
      <c r="Q34" s="54"/>
      <c r="R34" s="54"/>
      <c r="S34" s="54"/>
      <c r="T34" s="54"/>
      <c r="U34" s="56" t="s">
        <v>83</v>
      </c>
      <c r="V34" s="56" t="s">
        <v>203</v>
      </c>
      <c r="W34" s="56" t="s">
        <v>523</v>
      </c>
    </row>
    <row r="35" spans="2:26">
      <c r="B35" s="57" t="s">
        <v>84</v>
      </c>
      <c r="C35" s="58" t="s">
        <v>37</v>
      </c>
      <c r="D35" s="60"/>
      <c r="E35" s="123"/>
      <c r="F35" s="123"/>
      <c r="G35" s="124">
        <f>G30*G25</f>
        <v>0.67500000000000004</v>
      </c>
      <c r="H35" s="123"/>
      <c r="I35" s="123"/>
      <c r="J35" s="122"/>
      <c r="L35" s="54"/>
      <c r="M35" s="58" t="s">
        <v>37</v>
      </c>
      <c r="N35" s="60">
        <f t="shared" ref="N35:S38" si="5">N21*0.0188+0.00158</f>
        <v>3.0975049527662182E-2</v>
      </c>
      <c r="O35" s="60">
        <f t="shared" si="5"/>
        <v>2.6521439170934902E-2</v>
      </c>
      <c r="P35" s="60">
        <f t="shared" si="5"/>
        <v>2.0176820629300637E-2</v>
      </c>
      <c r="Q35" s="60">
        <f t="shared" si="5"/>
        <v>2.6433976324699193E-2</v>
      </c>
      <c r="R35" s="60">
        <f t="shared" si="5"/>
        <v>2.2248587380207227E-2</v>
      </c>
      <c r="S35" s="60">
        <f t="shared" si="5"/>
        <v>1.0338216407409867E-2</v>
      </c>
      <c r="T35" s="54" t="s">
        <v>85</v>
      </c>
      <c r="U35" s="56"/>
      <c r="V35" s="56"/>
      <c r="W35" s="56"/>
    </row>
    <row r="36" spans="2:26">
      <c r="B36" s="54"/>
      <c r="C36" s="58" t="s">
        <v>39</v>
      </c>
      <c r="D36" s="54"/>
      <c r="E36" s="125"/>
      <c r="F36" s="125"/>
      <c r="G36" s="124">
        <f>G31*G26</f>
        <v>0</v>
      </c>
      <c r="H36" s="125"/>
      <c r="I36" s="125"/>
      <c r="J36" s="122"/>
      <c r="L36" s="54"/>
      <c r="M36" s="58" t="s">
        <v>39</v>
      </c>
      <c r="N36" s="60">
        <f t="shared" si="5"/>
        <v>2.3344510908123194E-2</v>
      </c>
      <c r="O36" s="60">
        <f t="shared" si="5"/>
        <v>1.9622326472783697E-2</v>
      </c>
      <c r="P36" s="60">
        <f t="shared" si="5"/>
        <v>1.6093714679864916E-2</v>
      </c>
      <c r="Q36" s="60">
        <f t="shared" si="5"/>
        <v>1.782956036214263E-2</v>
      </c>
      <c r="R36" s="60">
        <f t="shared" si="5"/>
        <v>1.782956036214263E-2</v>
      </c>
      <c r="S36" s="60">
        <f t="shared" si="5"/>
        <v>1.0503858493733557E-2</v>
      </c>
      <c r="T36" s="54" t="s">
        <v>85</v>
      </c>
      <c r="U36" s="56"/>
      <c r="V36" s="56"/>
      <c r="W36" s="56"/>
    </row>
    <row r="37" spans="2:26">
      <c r="B37" s="54"/>
      <c r="C37" s="58" t="s">
        <v>40</v>
      </c>
      <c r="D37" s="54"/>
      <c r="E37" s="500"/>
      <c r="F37" s="126"/>
      <c r="G37" s="124">
        <f>G32*G27</f>
        <v>0</v>
      </c>
      <c r="H37" s="500"/>
      <c r="I37" s="500"/>
      <c r="J37" s="500"/>
      <c r="L37" s="54"/>
      <c r="M37" s="58" t="s">
        <v>40</v>
      </c>
      <c r="N37" s="60">
        <f t="shared" si="5"/>
        <v>2.6652412732126832E-2</v>
      </c>
      <c r="O37" s="60">
        <f t="shared" si="5"/>
        <v>2.1543344576682381E-2</v>
      </c>
      <c r="P37" s="60">
        <f t="shared" si="5"/>
        <v>1.7862824957213148E-2</v>
      </c>
      <c r="Q37" s="60">
        <f t="shared" si="5"/>
        <v>1.998186779133454E-2</v>
      </c>
      <c r="R37" s="60">
        <f t="shared" si="5"/>
        <v>1.817931101089338E-2</v>
      </c>
      <c r="S37" s="60">
        <f t="shared" si="5"/>
        <v>1.216857060549725E-2</v>
      </c>
      <c r="T37" s="54" t="s">
        <v>85</v>
      </c>
      <c r="U37" s="56"/>
      <c r="V37" s="56"/>
      <c r="W37" s="56"/>
    </row>
    <row r="38" spans="2:26" ht="16.05" customHeight="1">
      <c r="B38" s="54"/>
      <c r="C38" s="58" t="s">
        <v>41</v>
      </c>
      <c r="D38" s="54"/>
      <c r="E38" s="500"/>
      <c r="F38" s="125"/>
      <c r="G38" s="124">
        <f>G33*G28</f>
        <v>0.22500000000000001</v>
      </c>
      <c r="H38" s="125"/>
      <c r="I38" s="125"/>
      <c r="J38" s="122"/>
      <c r="L38" s="54"/>
      <c r="M38" s="58" t="s">
        <v>41</v>
      </c>
      <c r="N38" s="60">
        <f t="shared" si="5"/>
        <v>2.1954045243922731E-2</v>
      </c>
      <c r="O38" s="60">
        <f t="shared" si="5"/>
        <v>1.6907223745987233E-2</v>
      </c>
      <c r="P38" s="60">
        <f t="shared" si="5"/>
        <v>1.4681314400073416E-2</v>
      </c>
      <c r="Q38" s="60">
        <f t="shared" si="5"/>
        <v>1.9506065908855605E-2</v>
      </c>
      <c r="R38" s="60">
        <f t="shared" si="5"/>
        <v>1.6907223745987233E-2</v>
      </c>
      <c r="S38" s="60">
        <f t="shared" si="5"/>
        <v>1.3751493213738704E-2</v>
      </c>
      <c r="T38" s="54" t="s">
        <v>85</v>
      </c>
      <c r="U38" s="56"/>
      <c r="V38" s="56"/>
      <c r="W38" s="56"/>
      <c r="X38" s="66"/>
      <c r="Y38" s="501"/>
      <c r="Z38" s="501"/>
    </row>
    <row r="39" spans="2:26">
      <c r="B39" s="54"/>
      <c r="C39" s="58"/>
      <c r="D39" s="58"/>
      <c r="E39" s="127"/>
      <c r="F39" s="127"/>
      <c r="G39" s="127"/>
      <c r="H39" s="125"/>
      <c r="I39" s="125"/>
      <c r="J39" s="122"/>
      <c r="L39" s="54"/>
      <c r="M39" s="54"/>
      <c r="N39" s="54"/>
      <c r="O39" s="54"/>
      <c r="P39" s="54"/>
      <c r="Q39" s="54"/>
      <c r="R39" s="54"/>
      <c r="S39" s="54"/>
      <c r="T39" s="54"/>
      <c r="U39" s="56"/>
      <c r="V39" s="56"/>
      <c r="W39" s="56"/>
    </row>
    <row r="40" spans="2:26">
      <c r="B40" s="57" t="s">
        <v>86</v>
      </c>
      <c r="C40" s="58" t="s">
        <v>37</v>
      </c>
      <c r="D40" s="58">
        <f>'Data input'!D8</f>
        <v>50</v>
      </c>
      <c r="E40" s="127">
        <f>'Data input'!E8</f>
        <v>2000</v>
      </c>
      <c r="F40" s="127">
        <f>'Data input'!F8</f>
        <v>500</v>
      </c>
      <c r="G40" s="127">
        <f>'Data input'!G8</f>
        <v>500</v>
      </c>
      <c r="H40" s="127">
        <f>'Data input'!H8</f>
        <v>0</v>
      </c>
      <c r="I40" s="127">
        <f>'Data input'!I8</f>
        <v>0</v>
      </c>
      <c r="J40" s="127" t="str">
        <f>'Data input'!J8</f>
        <v>head</v>
      </c>
      <c r="K40" s="46"/>
      <c r="L40" s="57" t="s">
        <v>87</v>
      </c>
      <c r="M40" s="54"/>
      <c r="N40" s="57" t="s">
        <v>88</v>
      </c>
      <c r="O40" s="54"/>
      <c r="P40" s="54"/>
      <c r="Q40" s="54"/>
      <c r="R40" s="54"/>
      <c r="S40" s="54"/>
      <c r="T40" s="54"/>
      <c r="U40" s="56" t="s">
        <v>89</v>
      </c>
      <c r="V40" s="56" t="s">
        <v>204</v>
      </c>
      <c r="W40" s="56" t="s">
        <v>523</v>
      </c>
    </row>
    <row r="41" spans="2:26">
      <c r="B41" s="54"/>
      <c r="C41" s="58" t="s">
        <v>39</v>
      </c>
      <c r="D41" s="58">
        <f>'Data input'!D9</f>
        <v>50</v>
      </c>
      <c r="E41" s="127">
        <f>'Data input'!E9</f>
        <v>2000</v>
      </c>
      <c r="F41" s="127">
        <f>'Data input'!F9</f>
        <v>500</v>
      </c>
      <c r="G41" s="127">
        <f>'Data input'!G9</f>
        <v>500</v>
      </c>
      <c r="H41" s="127">
        <f>'Data input'!H9</f>
        <v>0</v>
      </c>
      <c r="I41" s="127">
        <f>'Data input'!I9</f>
        <v>0</v>
      </c>
      <c r="J41" s="127" t="str">
        <f>'Data input'!J9</f>
        <v>head</v>
      </c>
      <c r="L41" s="54"/>
      <c r="M41" s="58" t="s">
        <v>37</v>
      </c>
      <c r="N41" s="60">
        <f t="shared" ref="N41:S44" si="6">(91.25*D40*N35)*10^-6</f>
        <v>1.4132366346995872E-4</v>
      </c>
      <c r="O41" s="60">
        <f t="shared" si="6"/>
        <v>4.8401626486956192E-3</v>
      </c>
      <c r="P41" s="60">
        <f t="shared" si="6"/>
        <v>9.2056744121184154E-4</v>
      </c>
      <c r="Q41" s="60">
        <f t="shared" si="6"/>
        <v>1.2060501698144008E-3</v>
      </c>
      <c r="R41" s="60">
        <f t="shared" si="6"/>
        <v>0</v>
      </c>
      <c r="S41" s="60">
        <f t="shared" si="6"/>
        <v>0</v>
      </c>
      <c r="T41" s="54" t="s">
        <v>90</v>
      </c>
      <c r="U41" s="56"/>
      <c r="V41" s="56"/>
      <c r="W41" s="56"/>
    </row>
    <row r="42" spans="2:26">
      <c r="B42" s="54"/>
      <c r="C42" s="58" t="s">
        <v>40</v>
      </c>
      <c r="D42" s="58">
        <f>'Data input'!D10</f>
        <v>50</v>
      </c>
      <c r="E42" s="58">
        <f>'Data input'!E10</f>
        <v>2000</v>
      </c>
      <c r="F42" s="58">
        <f>'Data input'!F10</f>
        <v>500</v>
      </c>
      <c r="G42" s="58">
        <f>'Data input'!G10</f>
        <v>500</v>
      </c>
      <c r="H42" s="58">
        <f>'Data input'!H10</f>
        <v>0</v>
      </c>
      <c r="I42" s="58">
        <f>'Data input'!I10</f>
        <v>0</v>
      </c>
      <c r="J42" s="58" t="str">
        <f>'Data input'!J10</f>
        <v>head</v>
      </c>
      <c r="L42" s="54"/>
      <c r="M42" s="58" t="s">
        <v>39</v>
      </c>
      <c r="N42" s="60">
        <f t="shared" si="6"/>
        <v>1.0650933101831206E-4</v>
      </c>
      <c r="O42" s="60">
        <f t="shared" si="6"/>
        <v>3.5810745812830244E-3</v>
      </c>
      <c r="P42" s="60">
        <f t="shared" si="6"/>
        <v>7.3427573226883677E-4</v>
      </c>
      <c r="Q42" s="60">
        <f t="shared" si="6"/>
        <v>8.1347369152275745E-4</v>
      </c>
      <c r="R42" s="60">
        <f t="shared" si="6"/>
        <v>0</v>
      </c>
      <c r="S42" s="60">
        <f t="shared" si="6"/>
        <v>0</v>
      </c>
      <c r="T42" s="54" t="s">
        <v>90</v>
      </c>
      <c r="U42" s="56"/>
      <c r="V42" s="56"/>
      <c r="W42" s="56"/>
    </row>
    <row r="43" spans="2:26">
      <c r="B43" s="68"/>
      <c r="C43" s="69" t="s">
        <v>41</v>
      </c>
      <c r="D43" s="69">
        <f>'Data input'!D11</f>
        <v>50</v>
      </c>
      <c r="E43" s="69">
        <f>'Data input'!E11</f>
        <v>2000</v>
      </c>
      <c r="F43" s="69">
        <f>'Data input'!F11</f>
        <v>500</v>
      </c>
      <c r="G43" s="69">
        <f>'Data input'!G11</f>
        <v>500</v>
      </c>
      <c r="H43" s="69">
        <f>'Data input'!H11</f>
        <v>0</v>
      </c>
      <c r="I43" s="69">
        <f>'Data input'!I11</f>
        <v>0</v>
      </c>
      <c r="J43" s="69" t="str">
        <f>'Data input'!J11</f>
        <v>head</v>
      </c>
      <c r="L43" s="54"/>
      <c r="M43" s="58" t="s">
        <v>40</v>
      </c>
      <c r="N43" s="60">
        <f t="shared" si="6"/>
        <v>1.2160163309032867E-4</v>
      </c>
      <c r="O43" s="60">
        <f t="shared" si="6"/>
        <v>3.9316603852445342E-3</v>
      </c>
      <c r="P43" s="60">
        <f t="shared" si="6"/>
        <v>8.1499138867284981E-4</v>
      </c>
      <c r="Q43" s="60">
        <f t="shared" si="6"/>
        <v>9.1167271797963829E-4</v>
      </c>
      <c r="R43" s="60">
        <f t="shared" si="6"/>
        <v>0</v>
      </c>
      <c r="S43" s="60">
        <f t="shared" si="6"/>
        <v>0</v>
      </c>
      <c r="T43" s="54" t="s">
        <v>90</v>
      </c>
      <c r="U43" s="56"/>
      <c r="V43" s="56"/>
      <c r="W43" s="56"/>
    </row>
    <row r="44" spans="2:26">
      <c r="L44" s="54"/>
      <c r="M44" s="58" t="s">
        <v>41</v>
      </c>
      <c r="N44" s="60">
        <f t="shared" si="6"/>
        <v>1.0016533142539745E-4</v>
      </c>
      <c r="O44" s="60">
        <f t="shared" si="6"/>
        <v>3.0855683336426698E-3</v>
      </c>
      <c r="P44" s="60">
        <f t="shared" si="6"/>
        <v>6.6983496950334957E-4</v>
      </c>
      <c r="Q44" s="60">
        <f t="shared" si="6"/>
        <v>8.8996425709153689E-4</v>
      </c>
      <c r="R44" s="60">
        <f t="shared" si="6"/>
        <v>0</v>
      </c>
      <c r="S44" s="60">
        <f t="shared" si="6"/>
        <v>0</v>
      </c>
      <c r="T44" s="54" t="s">
        <v>90</v>
      </c>
      <c r="U44" s="56"/>
      <c r="V44" s="56"/>
      <c r="W44" s="56"/>
    </row>
    <row r="45" spans="2:26">
      <c r="L45" s="54"/>
      <c r="M45" s="54"/>
      <c r="N45" s="54"/>
      <c r="O45" s="54"/>
      <c r="P45" s="54"/>
      <c r="Q45" s="54"/>
      <c r="R45" s="54"/>
      <c r="S45" s="54"/>
      <c r="T45" s="54"/>
      <c r="U45" s="56"/>
      <c r="V45" s="56"/>
      <c r="W45" s="56"/>
    </row>
    <row r="46" spans="2:26">
      <c r="L46" s="57" t="s">
        <v>91</v>
      </c>
      <c r="M46" s="65">
        <f>SUM(N41:S44)</f>
        <v>2.2868896275935056E-2</v>
      </c>
      <c r="N46" s="54"/>
      <c r="O46" s="54"/>
      <c r="P46" s="54"/>
      <c r="Q46" s="54"/>
      <c r="R46" s="54"/>
      <c r="S46" s="54"/>
      <c r="T46" s="54" t="s">
        <v>92</v>
      </c>
      <c r="U46" s="56"/>
      <c r="V46" s="56"/>
      <c r="W46" s="56"/>
    </row>
    <row r="47" spans="2:26">
      <c r="L47" s="57" t="s">
        <v>91</v>
      </c>
      <c r="M47" s="65">
        <f>M46*GWP!C5</f>
        <v>0.57172240689837639</v>
      </c>
      <c r="N47" s="54"/>
      <c r="O47" s="54"/>
      <c r="P47" s="54"/>
      <c r="Q47" s="54"/>
      <c r="R47" s="54"/>
      <c r="S47" s="54"/>
      <c r="T47" s="54" t="s">
        <v>93</v>
      </c>
      <c r="U47" s="56"/>
      <c r="V47" s="56"/>
      <c r="W47" s="56"/>
    </row>
    <row r="48" spans="2:26">
      <c r="L48" s="70" t="s">
        <v>91</v>
      </c>
      <c r="M48" s="310">
        <f>M47*10^3</f>
        <v>571.72240689837633</v>
      </c>
      <c r="N48" s="68"/>
      <c r="O48" s="68"/>
      <c r="P48" s="68"/>
      <c r="Q48" s="68"/>
      <c r="R48" s="68"/>
      <c r="S48" s="68"/>
      <c r="T48" s="68" t="s">
        <v>94</v>
      </c>
      <c r="U48" s="71"/>
      <c r="V48" s="71"/>
      <c r="W48" s="71"/>
    </row>
    <row r="85" spans="5:10">
      <c r="E85" s="72"/>
      <c r="G85" s="72"/>
      <c r="I85" s="72"/>
    </row>
    <row r="92" spans="5:10">
      <c r="J92" s="73"/>
    </row>
  </sheetData>
  <sheetProtection sheet="1" objects="1" scenarios="1"/>
  <mergeCells count="3">
    <mergeCell ref="E37:E38"/>
    <mergeCell ref="H37:J37"/>
    <mergeCell ref="Y38:Z38"/>
  </mergeCells>
  <pageMargins left="0.75000000000000011" right="0.75000000000000011" top="1" bottom="1" header="0.5" footer="0.5"/>
  <pageSetup paperSize="9" fitToWidth="0" fitToHeight="0"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2"/>
  <sheetViews>
    <sheetView showGridLines="0" zoomScale="80" zoomScaleNormal="80" zoomScalePageLayoutView="80" workbookViewId="0"/>
  </sheetViews>
  <sheetFormatPr defaultColWidth="8.796875" defaultRowHeight="15.4"/>
  <cols>
    <col min="1" max="1" width="2.6640625" style="45" customWidth="1"/>
    <col min="2" max="2" width="31.33203125" style="45" customWidth="1"/>
    <col min="3" max="3" width="11.46484375" style="45" customWidth="1"/>
    <col min="4" max="4" width="9.796875" style="45" customWidth="1"/>
    <col min="5" max="5" width="10.1328125" style="45" customWidth="1"/>
    <col min="6" max="6" width="16.796875" style="45" customWidth="1"/>
    <col min="7" max="7" width="15.1328125" style="45" customWidth="1"/>
    <col min="8" max="8" width="12.33203125" style="45" customWidth="1"/>
    <col min="9" max="9" width="19.46484375" style="45" customWidth="1"/>
    <col min="10" max="10" width="18.33203125" style="50" customWidth="1"/>
    <col min="11" max="11" width="19.33203125" style="51" customWidth="1"/>
    <col min="12" max="13" width="31.796875" style="51" customWidth="1"/>
    <col min="14" max="14" width="8.796875" style="45" customWidth="1"/>
    <col min="15" max="16384" width="8.796875" style="45"/>
  </cols>
  <sheetData>
    <row r="1" spans="2:13" ht="25.8" customHeight="1">
      <c r="B1" s="49" t="s">
        <v>95</v>
      </c>
    </row>
    <row r="2" spans="2:13" ht="13.05" customHeight="1"/>
    <row r="3" spans="2:13" ht="13.05" customHeight="1">
      <c r="B3" s="74" t="s">
        <v>56</v>
      </c>
      <c r="C3" s="74" t="s">
        <v>57</v>
      </c>
      <c r="D3" s="74" t="str">
        <f>'Data input'!D7</f>
        <v>Rams</v>
      </c>
      <c r="E3" s="74" t="str">
        <f>'Data input'!E7</f>
        <v>Wethers</v>
      </c>
      <c r="F3" s="74" t="str">
        <f>'Data input'!F7</f>
        <v>Maiden breeding ewes</v>
      </c>
      <c r="G3" s="74" t="str">
        <f>'Data input'!G7</f>
        <v>Breeding ewes</v>
      </c>
      <c r="H3" s="74" t="str">
        <f>'Data input'!H7</f>
        <v>Other ewes</v>
      </c>
      <c r="I3" s="74" t="str">
        <f>'Data input'!I7</f>
        <v>Lambs and hoggets</v>
      </c>
      <c r="J3" s="74" t="str">
        <f>'Data input'!J7</f>
        <v>Units</v>
      </c>
      <c r="K3" s="75" t="s">
        <v>187</v>
      </c>
      <c r="L3" s="75" t="s">
        <v>199</v>
      </c>
      <c r="M3" s="75" t="s">
        <v>522</v>
      </c>
    </row>
    <row r="4" spans="2:13" ht="13.05" customHeight="1">
      <c r="B4" s="76"/>
      <c r="C4" s="76"/>
      <c r="D4" s="76"/>
      <c r="E4" s="76"/>
      <c r="F4" s="76"/>
      <c r="G4" s="76"/>
      <c r="H4" s="76"/>
      <c r="I4" s="76"/>
      <c r="J4" s="77"/>
      <c r="K4" s="78"/>
      <c r="L4" s="78"/>
      <c r="M4" s="78"/>
    </row>
    <row r="5" spans="2:13" ht="13.05" customHeight="1">
      <c r="B5" s="79" t="s">
        <v>190</v>
      </c>
      <c r="C5" s="76" t="s">
        <v>37</v>
      </c>
      <c r="D5" s="76">
        <f>'Data input'!D50</f>
        <v>70</v>
      </c>
      <c r="E5" s="76">
        <f>'Data input'!E50</f>
        <v>70</v>
      </c>
      <c r="F5" s="76">
        <f>'Data input'!F50</f>
        <v>70</v>
      </c>
      <c r="G5" s="76">
        <f>'Data input'!G50</f>
        <v>70</v>
      </c>
      <c r="H5" s="76">
        <f>'Data input'!H50</f>
        <v>70</v>
      </c>
      <c r="I5" s="76">
        <f>'Data input'!I50</f>
        <v>70</v>
      </c>
      <c r="J5" s="77" t="str">
        <f>'Data input'!J50</f>
        <v>%</v>
      </c>
      <c r="K5" s="78"/>
      <c r="L5" s="78"/>
      <c r="M5" s="78"/>
    </row>
    <row r="6" spans="2:13" ht="13.05" customHeight="1">
      <c r="B6" s="76"/>
      <c r="C6" s="76" t="s">
        <v>39</v>
      </c>
      <c r="D6" s="76">
        <f>'Data input'!D51</f>
        <v>55</v>
      </c>
      <c r="E6" s="76">
        <f>'Data input'!E51</f>
        <v>55</v>
      </c>
      <c r="F6" s="76">
        <f>'Data input'!F51</f>
        <v>55</v>
      </c>
      <c r="G6" s="76">
        <f>'Data input'!G51</f>
        <v>55</v>
      </c>
      <c r="H6" s="76">
        <f>'Data input'!H51</f>
        <v>55</v>
      </c>
      <c r="I6" s="76">
        <f>'Data input'!I51</f>
        <v>60</v>
      </c>
      <c r="J6" s="77" t="str">
        <f>'Data input'!J51</f>
        <v>%</v>
      </c>
      <c r="K6" s="78"/>
      <c r="L6" s="78"/>
      <c r="M6" s="78"/>
    </row>
    <row r="7" spans="2:13" ht="13.05" customHeight="1">
      <c r="B7" s="76"/>
      <c r="C7" s="76" t="s">
        <v>40</v>
      </c>
      <c r="D7" s="76">
        <f>'Data input'!D52</f>
        <v>65</v>
      </c>
      <c r="E7" s="76">
        <f>'Data input'!E52</f>
        <v>65</v>
      </c>
      <c r="F7" s="76">
        <f>'Data input'!F52</f>
        <v>65</v>
      </c>
      <c r="G7" s="76">
        <f>'Data input'!G52</f>
        <v>65</v>
      </c>
      <c r="H7" s="76">
        <f>'Data input'!H52</f>
        <v>65</v>
      </c>
      <c r="I7" s="76">
        <f>'Data input'!I52</f>
        <v>60</v>
      </c>
      <c r="J7" s="77" t="str">
        <f>'Data input'!J52</f>
        <v>%</v>
      </c>
      <c r="K7" s="78"/>
      <c r="L7" s="78"/>
      <c r="M7" s="78"/>
    </row>
    <row r="8" spans="2:13" ht="13.05" customHeight="1">
      <c r="B8" s="76"/>
      <c r="C8" s="76" t="s">
        <v>41</v>
      </c>
      <c r="D8" s="76">
        <f>'Data input'!D53</f>
        <v>60</v>
      </c>
      <c r="E8" s="76">
        <f>'Data input'!E53</f>
        <v>60</v>
      </c>
      <c r="F8" s="76">
        <f>'Data input'!F53</f>
        <v>60</v>
      </c>
      <c r="G8" s="76">
        <f>'Data input'!G53</f>
        <v>60</v>
      </c>
      <c r="H8" s="76">
        <f>'Data input'!H53</f>
        <v>60</v>
      </c>
      <c r="I8" s="76">
        <f>'Data input'!I53</f>
        <v>60</v>
      </c>
      <c r="J8" s="77" t="str">
        <f>'Data input'!J53</f>
        <v>%</v>
      </c>
      <c r="K8" s="78"/>
      <c r="L8" s="78"/>
      <c r="M8" s="78"/>
    </row>
    <row r="9" spans="2:13" ht="13.05" customHeight="1">
      <c r="B9" s="76"/>
      <c r="C9" s="76"/>
      <c r="D9" s="76"/>
      <c r="E9" s="76"/>
      <c r="F9" s="76"/>
      <c r="G9" s="76"/>
      <c r="H9" s="76"/>
      <c r="I9" s="76"/>
      <c r="J9" s="77"/>
      <c r="K9" s="78"/>
      <c r="L9" s="78"/>
      <c r="M9" s="78"/>
    </row>
    <row r="10" spans="2:13" ht="13.05" customHeight="1">
      <c r="B10" s="79" t="s">
        <v>525</v>
      </c>
      <c r="C10" s="76">
        <v>1.4E-5</v>
      </c>
      <c r="D10" s="76"/>
      <c r="E10" s="76"/>
      <c r="F10" s="76"/>
      <c r="G10" s="76"/>
      <c r="H10" s="76"/>
      <c r="I10" s="76"/>
      <c r="J10" s="77"/>
      <c r="K10" s="78"/>
      <c r="L10" s="78"/>
      <c r="M10" s="78" t="s">
        <v>526</v>
      </c>
    </row>
    <row r="11" spans="2:13" ht="13.05" customHeight="1">
      <c r="B11" s="76"/>
      <c r="C11" s="76"/>
      <c r="D11" s="76"/>
      <c r="E11" s="76"/>
      <c r="F11" s="76"/>
      <c r="G11" s="76"/>
      <c r="H11" s="76"/>
      <c r="I11" s="76"/>
      <c r="J11" s="77"/>
      <c r="K11" s="78"/>
      <c r="L11" s="78"/>
      <c r="M11" s="78"/>
    </row>
    <row r="12" spans="2:13" ht="13.05" customHeight="1">
      <c r="B12" s="76" t="s">
        <v>99</v>
      </c>
      <c r="C12" s="76" t="s">
        <v>37</v>
      </c>
      <c r="D12" s="76">
        <f>'Data input'!D8</f>
        <v>50</v>
      </c>
      <c r="E12" s="76">
        <f>'Data input'!E8</f>
        <v>2000</v>
      </c>
      <c r="F12" s="76">
        <f>'Data input'!F8</f>
        <v>500</v>
      </c>
      <c r="G12" s="76">
        <f>'Data input'!G8</f>
        <v>500</v>
      </c>
      <c r="H12" s="76">
        <f>'Data input'!H8</f>
        <v>0</v>
      </c>
      <c r="I12" s="76">
        <f>'Data input'!I8</f>
        <v>0</v>
      </c>
      <c r="J12" s="77" t="str">
        <f>'Data input'!J8</f>
        <v>head</v>
      </c>
      <c r="K12" s="78"/>
      <c r="L12" s="78"/>
      <c r="M12" s="78"/>
    </row>
    <row r="13" spans="2:13" ht="13.05" customHeight="1">
      <c r="B13" s="76"/>
      <c r="C13" s="76" t="s">
        <v>39</v>
      </c>
      <c r="D13" s="76">
        <f>'Data input'!D9</f>
        <v>50</v>
      </c>
      <c r="E13" s="76">
        <f>'Data input'!E9</f>
        <v>2000</v>
      </c>
      <c r="F13" s="76">
        <f>'Data input'!F9</f>
        <v>500</v>
      </c>
      <c r="G13" s="76">
        <f>'Data input'!G9</f>
        <v>500</v>
      </c>
      <c r="H13" s="76">
        <f>'Data input'!H9</f>
        <v>0</v>
      </c>
      <c r="I13" s="76">
        <f>'Data input'!I9</f>
        <v>0</v>
      </c>
      <c r="J13" s="77" t="str">
        <f>'Data input'!J9</f>
        <v>head</v>
      </c>
      <c r="K13" s="78"/>
      <c r="L13" s="78"/>
      <c r="M13" s="78"/>
    </row>
    <row r="14" spans="2:13" ht="13.05" customHeight="1">
      <c r="B14" s="76"/>
      <c r="C14" s="76" t="s">
        <v>40</v>
      </c>
      <c r="D14" s="76">
        <f>'Data input'!D10</f>
        <v>50</v>
      </c>
      <c r="E14" s="76">
        <f>'Data input'!E10</f>
        <v>2000</v>
      </c>
      <c r="F14" s="76">
        <f>'Data input'!F10</f>
        <v>500</v>
      </c>
      <c r="G14" s="76">
        <f>'Data input'!G10</f>
        <v>500</v>
      </c>
      <c r="H14" s="76">
        <f>'Data input'!H10</f>
        <v>0</v>
      </c>
      <c r="I14" s="76">
        <f>'Data input'!I10</f>
        <v>0</v>
      </c>
      <c r="J14" s="77" t="str">
        <f>'Data input'!J10</f>
        <v>head</v>
      </c>
      <c r="K14" s="78"/>
      <c r="L14" s="78"/>
      <c r="M14" s="78"/>
    </row>
    <row r="15" spans="2:13" ht="13.05" customHeight="1">
      <c r="B15" s="76"/>
      <c r="C15" s="76" t="s">
        <v>41</v>
      </c>
      <c r="D15" s="76">
        <f>'Data input'!D11</f>
        <v>50</v>
      </c>
      <c r="E15" s="76">
        <f>'Data input'!E11</f>
        <v>2000</v>
      </c>
      <c r="F15" s="76">
        <f>'Data input'!F11</f>
        <v>500</v>
      </c>
      <c r="G15" s="76">
        <f>'Data input'!G11</f>
        <v>500</v>
      </c>
      <c r="H15" s="76">
        <f>'Data input'!H11</f>
        <v>0</v>
      </c>
      <c r="I15" s="76">
        <f>'Data input'!I11</f>
        <v>0</v>
      </c>
      <c r="J15" s="77" t="str">
        <f>'Data input'!J11</f>
        <v>head</v>
      </c>
      <c r="K15" s="78"/>
      <c r="L15" s="78"/>
      <c r="M15" s="78"/>
    </row>
    <row r="16" spans="2:13" ht="13.05" customHeight="1">
      <c r="B16" s="80"/>
      <c r="C16" s="80"/>
      <c r="D16" s="80"/>
      <c r="E16" s="80"/>
      <c r="F16" s="80"/>
      <c r="G16" s="80"/>
      <c r="H16" s="80"/>
      <c r="I16" s="80"/>
      <c r="J16" s="81"/>
      <c r="K16" s="78"/>
      <c r="L16" s="78"/>
      <c r="M16" s="78"/>
    </row>
    <row r="17" spans="2:13" ht="13.05" customHeight="1">
      <c r="B17" s="76"/>
      <c r="C17" s="76"/>
      <c r="D17" s="76"/>
      <c r="E17" s="76"/>
      <c r="F17" s="76"/>
      <c r="G17" s="76"/>
      <c r="H17" s="76"/>
      <c r="I17" s="76"/>
      <c r="J17" s="77"/>
      <c r="K17" s="78"/>
      <c r="L17" s="78"/>
      <c r="M17" s="78"/>
    </row>
    <row r="18" spans="2:13" ht="13.05" customHeight="1">
      <c r="B18" s="82"/>
      <c r="C18" s="82"/>
      <c r="D18" s="82"/>
      <c r="E18" s="82"/>
      <c r="F18" s="82"/>
      <c r="G18" s="82"/>
      <c r="H18" s="82"/>
      <c r="I18" s="82"/>
      <c r="J18" s="83"/>
      <c r="K18" s="78"/>
      <c r="L18" s="78"/>
      <c r="M18" s="78"/>
    </row>
    <row r="19" spans="2:13" ht="13.05" customHeight="1">
      <c r="B19" s="79" t="s">
        <v>100</v>
      </c>
      <c r="C19" s="76"/>
      <c r="D19" s="79" t="s">
        <v>206</v>
      </c>
      <c r="E19" s="76"/>
      <c r="F19" s="76"/>
      <c r="G19" s="76"/>
      <c r="H19" s="76"/>
      <c r="I19" s="76"/>
      <c r="J19" s="77"/>
      <c r="K19" s="78" t="s">
        <v>101</v>
      </c>
      <c r="L19" s="78" t="s">
        <v>205</v>
      </c>
      <c r="M19" s="78" t="s">
        <v>527</v>
      </c>
    </row>
    <row r="20" spans="2:13" ht="13.05" customHeight="1">
      <c r="B20" s="79"/>
      <c r="C20" s="76" t="s">
        <v>37</v>
      </c>
      <c r="D20" s="84">
        <f>'Enteric fermentation'!N21*(1-D5%)*$C$10</f>
        <v>6.5669791497968704E-6</v>
      </c>
      <c r="E20" s="84">
        <f>'Enteric fermentation'!O21*(1-E5%)*$C$10</f>
        <v>5.5720236445705631E-6</v>
      </c>
      <c r="F20" s="84">
        <f>'Enteric fermentation'!P21*(1-F5%)*$C$10</f>
        <v>4.154608863992696E-6</v>
      </c>
      <c r="G20" s="84">
        <f>'Enteric fermentation'!Q21*(1-G5%)*$C$10</f>
        <v>5.5524840725391818E-6</v>
      </c>
      <c r="H20" s="84">
        <f>'Enteric fermentation'!R21*(1-H5%)*$C$10</f>
        <v>4.6174503721739545E-6</v>
      </c>
      <c r="I20" s="84">
        <f>'Enteric fermentation'!S21*(1-I5%)*$C$10</f>
        <v>1.9566228144213536E-6</v>
      </c>
      <c r="J20" s="77" t="s">
        <v>102</v>
      </c>
      <c r="K20" s="78"/>
      <c r="L20" s="78"/>
      <c r="M20" s="78"/>
    </row>
    <row r="21" spans="2:13" ht="13.05" customHeight="1">
      <c r="B21" s="79"/>
      <c r="C21" s="76" t="s">
        <v>39</v>
      </c>
      <c r="D21" s="84">
        <f>'Enteric fermentation'!N22*(1-D6%)*$C$10</f>
        <v>7.2934265277221325E-6</v>
      </c>
      <c r="E21" s="84">
        <f>'Enteric fermentation'!O22*(1-E6%)*$C$10</f>
        <v>6.0460987648158119E-6</v>
      </c>
      <c r="F21" s="84">
        <f>'Enteric fermentation'!P22*(1-F6%)*$C$10</f>
        <v>4.8636384299547314E-6</v>
      </c>
      <c r="G21" s="84">
        <f>'Enteric fermentation'!Q22*(1-G6%)*$C$10</f>
        <v>5.4453313979520494E-6</v>
      </c>
      <c r="H21" s="84">
        <f>'Enteric fermentation'!R22*(1-H6%)*$C$10</f>
        <v>5.4453313979520494E-6</v>
      </c>
      <c r="I21" s="84">
        <f>'Enteric fermentation'!S22*(1-I6%)*$C$10</f>
        <v>2.6581706151546767E-6</v>
      </c>
      <c r="J21" s="77" t="s">
        <v>102</v>
      </c>
      <c r="K21" s="78"/>
      <c r="L21" s="78"/>
      <c r="M21" s="78"/>
    </row>
    <row r="22" spans="2:13" ht="13.05" customHeight="1">
      <c r="B22" s="79"/>
      <c r="C22" s="76" t="s">
        <v>40</v>
      </c>
      <c r="D22" s="84">
        <f>'Enteric fermentation'!N23*(1-D7%)*$C$10</f>
        <v>6.534830978054333E-6</v>
      </c>
      <c r="E22" s="84">
        <f>'Enteric fermentation'!O23*(1-E7%)*$C$10</f>
        <v>5.2032121503055136E-6</v>
      </c>
      <c r="F22" s="84">
        <f>'Enteric fermentation'!P23*(1-F7%)*$C$10</f>
        <v>4.243927781401298E-6</v>
      </c>
      <c r="G22" s="84">
        <f>'Enteric fermentation'!Q23*(1-G7%)*$C$10</f>
        <v>4.7962314988052781E-6</v>
      </c>
      <c r="H22" s="84">
        <f>'Enteric fermentation'!R23*(1-H7%)*$C$10</f>
        <v>4.3264161677328483E-6</v>
      </c>
      <c r="I22" s="84">
        <f>'Enteric fermentation'!S23*(1-I7%)*$C$10</f>
        <v>3.1540423080204571E-6</v>
      </c>
      <c r="J22" s="77" t="s">
        <v>102</v>
      </c>
      <c r="K22" s="78"/>
      <c r="L22" s="78"/>
      <c r="M22" s="78"/>
    </row>
    <row r="23" spans="2:13" ht="13.05" customHeight="1">
      <c r="B23" s="79"/>
      <c r="C23" s="76" t="s">
        <v>41</v>
      </c>
      <c r="D23" s="84">
        <f>'Enteric fermentation'!N24*(1-D8%)*$C$10</f>
        <v>6.0688645407429404E-6</v>
      </c>
      <c r="E23" s="84">
        <f>'Enteric fermentation'!O24*(1-E8%)*$C$10</f>
        <v>4.5655560094430058E-6</v>
      </c>
      <c r="F23" s="84">
        <f>'Enteric fermentation'!P24*(1-F8%)*$C$10</f>
        <v>3.9025191830005922E-6</v>
      </c>
      <c r="G23" s="84">
        <f>'Enteric fermentation'!Q24*(1-G8%)*$C$10</f>
        <v>5.3396792068931582E-6</v>
      </c>
      <c r="H23" s="84">
        <f>'Enteric fermentation'!R24*(1-H8%)*$C$10</f>
        <v>4.5655560094430058E-6</v>
      </c>
      <c r="I23" s="84">
        <f>'Enteric fermentation'!S24*(1-I8%)*$C$10</f>
        <v>3.6255511700498269E-6</v>
      </c>
      <c r="J23" s="77" t="s">
        <v>102</v>
      </c>
      <c r="K23" s="78"/>
      <c r="L23" s="78"/>
      <c r="M23" s="78"/>
    </row>
    <row r="24" spans="2:13" ht="13.05" customHeight="1">
      <c r="B24" s="79"/>
      <c r="C24" s="76"/>
      <c r="D24" s="76"/>
      <c r="E24" s="76"/>
      <c r="F24" s="76"/>
      <c r="G24" s="76"/>
      <c r="H24" s="76"/>
      <c r="I24" s="76"/>
      <c r="J24" s="77"/>
      <c r="K24" s="78"/>
      <c r="L24" s="78"/>
      <c r="M24" s="78"/>
    </row>
    <row r="25" spans="2:13" ht="13.05" customHeight="1">
      <c r="B25" s="79" t="s">
        <v>87</v>
      </c>
      <c r="C25" s="76"/>
      <c r="D25" s="79" t="s">
        <v>103</v>
      </c>
      <c r="E25" s="76"/>
      <c r="F25" s="76"/>
      <c r="G25" s="76"/>
      <c r="H25" s="76"/>
      <c r="I25" s="76"/>
      <c r="J25" s="77"/>
      <c r="K25" s="78" t="s">
        <v>104</v>
      </c>
      <c r="L25" s="78" t="s">
        <v>207</v>
      </c>
      <c r="M25" s="78" t="s">
        <v>523</v>
      </c>
    </row>
    <row r="26" spans="2:13" ht="13.05" customHeight="1">
      <c r="B26" s="76"/>
      <c r="C26" s="76" t="s">
        <v>37</v>
      </c>
      <c r="D26" s="85">
        <f t="shared" ref="D26:I29" si="0">(D12*D20*91.25)*10^-6</f>
        <v>2.9961842370948216E-8</v>
      </c>
      <c r="E26" s="85">
        <f t="shared" si="0"/>
        <v>1.0168943151341279E-6</v>
      </c>
      <c r="F26" s="85">
        <f t="shared" si="0"/>
        <v>1.8955402941966671E-7</v>
      </c>
      <c r="G26" s="85">
        <f t="shared" si="0"/>
        <v>2.5333208580960018E-7</v>
      </c>
      <c r="H26" s="85">
        <f t="shared" si="0"/>
        <v>0</v>
      </c>
      <c r="I26" s="85">
        <f t="shared" si="0"/>
        <v>0</v>
      </c>
      <c r="J26" s="77" t="s">
        <v>90</v>
      </c>
      <c r="K26" s="78"/>
      <c r="L26" s="78"/>
      <c r="M26" s="78"/>
    </row>
    <row r="27" spans="2:13" ht="13.05" customHeight="1">
      <c r="B27" s="76"/>
      <c r="C27" s="76" t="s">
        <v>39</v>
      </c>
      <c r="D27" s="85">
        <f t="shared" si="0"/>
        <v>3.3276258532732229E-8</v>
      </c>
      <c r="E27" s="85">
        <f t="shared" si="0"/>
        <v>1.1034130245788857E-6</v>
      </c>
      <c r="F27" s="85">
        <f t="shared" si="0"/>
        <v>2.2190350336668461E-7</v>
      </c>
      <c r="G27" s="85">
        <f t="shared" si="0"/>
        <v>2.4844324503156223E-7</v>
      </c>
      <c r="H27" s="85">
        <f t="shared" si="0"/>
        <v>0</v>
      </c>
      <c r="I27" s="85">
        <f t="shared" si="0"/>
        <v>0</v>
      </c>
      <c r="J27" s="77" t="s">
        <v>90</v>
      </c>
      <c r="K27" s="78"/>
      <c r="L27" s="78"/>
      <c r="M27" s="78"/>
    </row>
    <row r="28" spans="2:13" ht="13.05" customHeight="1">
      <c r="B28" s="76"/>
      <c r="C28" s="76" t="s">
        <v>40</v>
      </c>
      <c r="D28" s="85">
        <f t="shared" si="0"/>
        <v>2.9815166337372891E-8</v>
      </c>
      <c r="E28" s="85">
        <f t="shared" si="0"/>
        <v>9.4958621743075613E-7</v>
      </c>
      <c r="F28" s="85">
        <f t="shared" si="0"/>
        <v>1.936292050264342E-7</v>
      </c>
      <c r="G28" s="85">
        <f t="shared" si="0"/>
        <v>2.1882806213299078E-7</v>
      </c>
      <c r="H28" s="85">
        <f t="shared" si="0"/>
        <v>0</v>
      </c>
      <c r="I28" s="85">
        <f t="shared" si="0"/>
        <v>0</v>
      </c>
      <c r="J28" s="77" t="s">
        <v>90</v>
      </c>
      <c r="K28" s="78"/>
      <c r="L28" s="78"/>
      <c r="M28" s="78"/>
    </row>
    <row r="29" spans="2:13">
      <c r="B29" s="76"/>
      <c r="C29" s="76" t="s">
        <v>41</v>
      </c>
      <c r="D29" s="85">
        <f t="shared" si="0"/>
        <v>2.7689194467139666E-8</v>
      </c>
      <c r="E29" s="85">
        <f t="shared" si="0"/>
        <v>8.3321397172334855E-7</v>
      </c>
      <c r="F29" s="85">
        <f t="shared" si="0"/>
        <v>1.7805243772440201E-7</v>
      </c>
      <c r="G29" s="85">
        <f t="shared" si="0"/>
        <v>2.4362286381450033E-7</v>
      </c>
      <c r="H29" s="85">
        <f t="shared" si="0"/>
        <v>0</v>
      </c>
      <c r="I29" s="85">
        <f t="shared" si="0"/>
        <v>0</v>
      </c>
      <c r="J29" s="77" t="s">
        <v>90</v>
      </c>
      <c r="K29" s="78"/>
      <c r="L29" s="78"/>
      <c r="M29" s="78"/>
    </row>
    <row r="30" spans="2:13">
      <c r="B30" s="76"/>
      <c r="C30" s="76"/>
      <c r="D30" s="76"/>
      <c r="E30" s="76"/>
      <c r="F30" s="76"/>
      <c r="G30" s="76"/>
      <c r="H30" s="76"/>
      <c r="I30" s="76"/>
      <c r="J30" s="77"/>
      <c r="K30" s="78"/>
      <c r="L30" s="78"/>
      <c r="M30" s="78"/>
    </row>
    <row r="31" spans="2:13">
      <c r="B31" s="79" t="s">
        <v>91</v>
      </c>
      <c r="C31" s="86">
        <f>SUM(D26:I29)</f>
        <v>5.7712154229011517E-6</v>
      </c>
      <c r="D31" s="76"/>
      <c r="E31" s="76"/>
      <c r="F31" s="76"/>
      <c r="G31" s="76"/>
      <c r="H31" s="76"/>
      <c r="I31" s="76"/>
      <c r="J31" s="77" t="s">
        <v>92</v>
      </c>
      <c r="K31" s="78"/>
      <c r="L31" s="78"/>
      <c r="M31" s="78"/>
    </row>
    <row r="32" spans="2:13">
      <c r="B32" s="79" t="s">
        <v>91</v>
      </c>
      <c r="C32" s="86">
        <f>C31*GWP!C5</f>
        <v>1.4428038557252879E-4</v>
      </c>
      <c r="D32" s="76"/>
      <c r="E32" s="76"/>
      <c r="F32" s="76"/>
      <c r="G32" s="76"/>
      <c r="H32" s="76"/>
      <c r="I32" s="76"/>
      <c r="J32" s="77" t="s">
        <v>93</v>
      </c>
      <c r="K32" s="78"/>
      <c r="L32" s="78"/>
      <c r="M32" s="78"/>
    </row>
    <row r="33" spans="2:13">
      <c r="B33" s="87" t="s">
        <v>91</v>
      </c>
      <c r="C33" s="489">
        <f>C32*10^3</f>
        <v>0.14428038557252879</v>
      </c>
      <c r="D33" s="82"/>
      <c r="E33" s="82"/>
      <c r="F33" s="82"/>
      <c r="G33" s="82"/>
      <c r="H33" s="82"/>
      <c r="I33" s="82"/>
      <c r="J33" s="83" t="s">
        <v>94</v>
      </c>
      <c r="K33" s="88"/>
      <c r="L33" s="88"/>
      <c r="M33" s="88"/>
    </row>
    <row r="43" spans="2:13">
      <c r="B43" s="8"/>
    </row>
    <row r="49" spans="2:2">
      <c r="B49" s="8"/>
    </row>
    <row r="50" spans="2:2">
      <c r="B50" s="8"/>
    </row>
    <row r="51" spans="2:2">
      <c r="B51" s="8"/>
    </row>
    <row r="52" spans="2:2">
      <c r="B52" s="8"/>
    </row>
  </sheetData>
  <sheetProtection sheet="1" objects="1" scenarios="1"/>
  <pageMargins left="0.70000000000000007" right="0.70000000000000007" top="0.75" bottom="0.75" header="0.30000000000000004" footer="0.30000000000000004"/>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147"/>
  <sheetViews>
    <sheetView showGridLines="0" topLeftCell="I29" zoomScale="80" zoomScaleNormal="80" zoomScalePageLayoutView="80" workbookViewId="0"/>
  </sheetViews>
  <sheetFormatPr defaultColWidth="8.796875" defaultRowHeight="15.4"/>
  <cols>
    <col min="1" max="1" width="2.796875" style="45" customWidth="1"/>
    <col min="2" max="2" width="52.46484375" style="45" customWidth="1"/>
    <col min="3" max="3" width="9.6640625" style="45" customWidth="1"/>
    <col min="4" max="4" width="11.33203125" style="45" customWidth="1"/>
    <col min="5" max="5" width="12.46484375" style="45" bestFit="1" customWidth="1"/>
    <col min="6" max="6" width="16.796875" style="45" customWidth="1"/>
    <col min="7" max="7" width="15" style="45" customWidth="1"/>
    <col min="8" max="8" width="13.33203125" style="45" customWidth="1"/>
    <col min="9" max="9" width="20.33203125" style="45" customWidth="1"/>
    <col min="10" max="10" width="22.33203125" style="50" customWidth="1"/>
    <col min="11" max="12" width="8.796875" style="45" customWidth="1"/>
    <col min="13" max="13" width="32.796875" style="45" customWidth="1"/>
    <col min="14" max="14" width="11" style="45" customWidth="1"/>
    <col min="15" max="15" width="12.6640625" style="45" customWidth="1"/>
    <col min="16" max="16" width="13.796875" style="45" customWidth="1"/>
    <col min="17" max="17" width="16.33203125" style="45" customWidth="1"/>
    <col min="18" max="18" width="14.1328125" style="45" customWidth="1"/>
    <col min="19" max="19" width="12" style="45" customWidth="1"/>
    <col min="20" max="20" width="19.46484375" style="45" customWidth="1"/>
    <col min="21" max="21" width="18.46484375" style="45" customWidth="1"/>
    <col min="22" max="22" width="19.33203125" style="51" customWidth="1"/>
    <col min="23" max="24" width="28.1328125" style="45" customWidth="1"/>
    <col min="25" max="16384" width="8.796875" style="45"/>
  </cols>
  <sheetData>
    <row r="1" spans="2:29" ht="22.8" customHeight="1">
      <c r="B1" s="49" t="s">
        <v>105</v>
      </c>
    </row>
    <row r="3" spans="2:29">
      <c r="B3" s="89" t="s">
        <v>56</v>
      </c>
      <c r="C3" s="89" t="s">
        <v>57</v>
      </c>
      <c r="D3" s="89" t="str">
        <f>'Data input'!D7</f>
        <v>Rams</v>
      </c>
      <c r="E3" s="89" t="str">
        <f>'Data input'!E7</f>
        <v>Wethers</v>
      </c>
      <c r="F3" s="89" t="str">
        <f>'Data input'!F7</f>
        <v>Maiden breeding ewes</v>
      </c>
      <c r="G3" s="89" t="str">
        <f>'Data input'!G7</f>
        <v>Breeding ewes</v>
      </c>
      <c r="H3" s="89" t="str">
        <f>'Data input'!H7</f>
        <v>Other ewes</v>
      </c>
      <c r="I3" s="89" t="str">
        <f>'Data input'!I7</f>
        <v>Lambs and hoggets</v>
      </c>
      <c r="J3" s="312" t="str">
        <f>'Data input'!J7</f>
        <v>Units</v>
      </c>
      <c r="M3" s="89" t="s">
        <v>106</v>
      </c>
      <c r="N3" s="89" t="s">
        <v>57</v>
      </c>
      <c r="O3" s="89" t="str">
        <f>'Data input'!D7</f>
        <v>Rams</v>
      </c>
      <c r="P3" s="89" t="str">
        <f>'Data input'!E7</f>
        <v>Wethers</v>
      </c>
      <c r="Q3" s="89" t="str">
        <f>'Data input'!F7</f>
        <v>Maiden breeding ewes</v>
      </c>
      <c r="R3" s="89" t="str">
        <f>'Data input'!G7</f>
        <v>Breeding ewes</v>
      </c>
      <c r="S3" s="89" t="str">
        <f>'Data input'!H7</f>
        <v>Other ewes</v>
      </c>
      <c r="T3" s="89" t="str">
        <f>'Data input'!I7</f>
        <v>Lambs and hoggets</v>
      </c>
      <c r="U3" s="89" t="str">
        <f>'Data input'!J7</f>
        <v>Units</v>
      </c>
      <c r="V3" s="90" t="s">
        <v>187</v>
      </c>
      <c r="W3" s="90" t="s">
        <v>199</v>
      </c>
      <c r="X3" s="90" t="s">
        <v>522</v>
      </c>
    </row>
    <row r="4" spans="2:29" ht="15" customHeight="1">
      <c r="B4" s="91"/>
      <c r="C4" s="91"/>
      <c r="D4" s="91"/>
      <c r="E4" s="91"/>
      <c r="F4" s="91"/>
      <c r="G4" s="91"/>
      <c r="H4" s="91"/>
      <c r="I4" s="91"/>
      <c r="J4" s="313"/>
      <c r="M4" s="91"/>
      <c r="N4" s="92"/>
      <c r="O4" s="92"/>
      <c r="P4" s="92"/>
      <c r="Q4" s="92"/>
      <c r="R4" s="92"/>
      <c r="S4" s="92"/>
      <c r="T4" s="91"/>
      <c r="U4" s="91"/>
      <c r="V4" s="93"/>
      <c r="W4" s="93"/>
      <c r="X4" s="93"/>
    </row>
    <row r="5" spans="2:29">
      <c r="B5" s="94" t="s">
        <v>191</v>
      </c>
      <c r="C5" s="91" t="s">
        <v>37</v>
      </c>
      <c r="D5" s="91">
        <f>'Data input'!D44</f>
        <v>16</v>
      </c>
      <c r="E5" s="91">
        <f>'Data input'!E44</f>
        <v>16</v>
      </c>
      <c r="F5" s="91">
        <f>'Data input'!F44</f>
        <v>16</v>
      </c>
      <c r="G5" s="91">
        <f>'Data input'!G44</f>
        <v>16</v>
      </c>
      <c r="H5" s="91">
        <f>'Data input'!H44</f>
        <v>16</v>
      </c>
      <c r="I5" s="91">
        <f>'Data input'!I44</f>
        <v>16</v>
      </c>
      <c r="J5" s="313" t="str">
        <f>'Data input'!J44</f>
        <v>%</v>
      </c>
      <c r="M5" s="94" t="s">
        <v>107</v>
      </c>
      <c r="N5" s="92"/>
      <c r="O5" s="95" t="s">
        <v>108</v>
      </c>
      <c r="P5" s="92"/>
      <c r="Q5" s="92"/>
      <c r="R5" s="92"/>
      <c r="S5" s="92"/>
      <c r="T5" s="91"/>
      <c r="U5" s="91"/>
      <c r="V5" s="93" t="s">
        <v>109</v>
      </c>
      <c r="W5" s="93" t="s">
        <v>208</v>
      </c>
      <c r="X5" s="93" t="s">
        <v>523</v>
      </c>
    </row>
    <row r="6" spans="2:29">
      <c r="B6" s="91"/>
      <c r="C6" s="91" t="s">
        <v>39</v>
      </c>
      <c r="D6" s="91">
        <f>'Data input'!D45</f>
        <v>7</v>
      </c>
      <c r="E6" s="91">
        <f>'Data input'!E45</f>
        <v>7</v>
      </c>
      <c r="F6" s="91">
        <f>'Data input'!F45</f>
        <v>7</v>
      </c>
      <c r="G6" s="91">
        <f>'Data input'!G45</f>
        <v>7</v>
      </c>
      <c r="H6" s="91">
        <f>'Data input'!H45</f>
        <v>7</v>
      </c>
      <c r="I6" s="91">
        <f>'Data input'!I45</f>
        <v>10</v>
      </c>
      <c r="J6" s="313" t="str">
        <f>'Data input'!J45</f>
        <v>%</v>
      </c>
      <c r="M6" s="92"/>
      <c r="N6" s="91"/>
      <c r="O6" s="96" t="s">
        <v>110</v>
      </c>
      <c r="P6" s="92"/>
      <c r="Q6" s="92"/>
      <c r="R6" s="92"/>
      <c r="S6" s="92"/>
      <c r="T6" s="91"/>
      <c r="U6" s="91"/>
      <c r="V6" s="93"/>
      <c r="W6" s="93"/>
      <c r="X6" s="93"/>
    </row>
    <row r="7" spans="2:29">
      <c r="B7" s="91"/>
      <c r="C7" s="91" t="s">
        <v>40</v>
      </c>
      <c r="D7" s="91">
        <f>'Data input'!D46</f>
        <v>13</v>
      </c>
      <c r="E7" s="91">
        <f>'Data input'!E46</f>
        <v>13</v>
      </c>
      <c r="F7" s="91">
        <f>'Data input'!F46</f>
        <v>13</v>
      </c>
      <c r="G7" s="91">
        <f>'Data input'!G46</f>
        <v>13</v>
      </c>
      <c r="H7" s="91">
        <f>'Data input'!H46</f>
        <v>13</v>
      </c>
      <c r="I7" s="91">
        <f>'Data input'!I46</f>
        <v>13</v>
      </c>
      <c r="J7" s="313" t="str">
        <f>'Data input'!J46</f>
        <v>%</v>
      </c>
      <c r="M7" s="92"/>
      <c r="N7" s="97" t="s">
        <v>37</v>
      </c>
      <c r="O7" s="98">
        <f>D15*D5%+(0.045*D10)</f>
        <v>0.25017063427797598</v>
      </c>
      <c r="P7" s="98">
        <f t="shared" ref="P7:T10" si="0">E15*E5%+(0.045*E10)</f>
        <v>0.21226756741221192</v>
      </c>
      <c r="Q7" s="98">
        <f t="shared" si="0"/>
        <v>0.15827081386638839</v>
      </c>
      <c r="R7" s="98">
        <f t="shared" si="0"/>
        <v>0.21152320276339737</v>
      </c>
      <c r="S7" s="98">
        <f t="shared" si="0"/>
        <v>0.17590287132091256</v>
      </c>
      <c r="T7" s="98">
        <f t="shared" si="0"/>
        <v>0.12853801197795633</v>
      </c>
      <c r="U7" s="91" t="s">
        <v>85</v>
      </c>
      <c r="V7" s="93"/>
      <c r="W7" s="93"/>
      <c r="X7" s="93"/>
    </row>
    <row r="8" spans="2:29">
      <c r="B8" s="91"/>
      <c r="C8" s="91" t="s">
        <v>41</v>
      </c>
      <c r="D8" s="91">
        <f>'Data input'!D47</f>
        <v>10</v>
      </c>
      <c r="E8" s="91">
        <f>'Data input'!E47</f>
        <v>10</v>
      </c>
      <c r="F8" s="91">
        <f>'Data input'!F47</f>
        <v>10</v>
      </c>
      <c r="G8" s="91">
        <f>'Data input'!G47</f>
        <v>10</v>
      </c>
      <c r="H8" s="91">
        <f>'Data input'!H47</f>
        <v>10</v>
      </c>
      <c r="I8" s="91">
        <f>'Data input'!I47</f>
        <v>10</v>
      </c>
      <c r="J8" s="313" t="str">
        <f>'Data input'!J47</f>
        <v>%</v>
      </c>
      <c r="M8" s="96"/>
      <c r="N8" s="97" t="s">
        <v>39</v>
      </c>
      <c r="O8" s="98">
        <f t="shared" ref="O8:O10" si="1">D16*D6%+(0.045*D11)</f>
        <v>8.1038072530245933E-2</v>
      </c>
      <c r="P8" s="98">
        <f t="shared" si="0"/>
        <v>6.717887516462015E-2</v>
      </c>
      <c r="Q8" s="98">
        <f t="shared" si="0"/>
        <v>5.4040426999497029E-2</v>
      </c>
      <c r="R8" s="98">
        <f t="shared" si="0"/>
        <v>6.0503682199467231E-2</v>
      </c>
      <c r="S8" s="98">
        <f t="shared" si="0"/>
        <v>6.0503682199467231E-2</v>
      </c>
      <c r="T8" s="98">
        <f t="shared" si="0"/>
        <v>4.7467332413476372E-2</v>
      </c>
      <c r="U8" s="91" t="s">
        <v>85</v>
      </c>
      <c r="V8" s="93"/>
      <c r="W8" s="93"/>
      <c r="X8" s="93"/>
    </row>
    <row r="9" spans="2:29" ht="16.05" customHeight="1">
      <c r="B9" s="91"/>
      <c r="C9" s="91"/>
      <c r="D9" s="91"/>
      <c r="E9" s="91"/>
      <c r="F9" s="91"/>
      <c r="G9" s="91"/>
      <c r="H9" s="91"/>
      <c r="I9" s="91"/>
      <c r="J9" s="313"/>
      <c r="M9" s="97"/>
      <c r="N9" s="97" t="s">
        <v>40</v>
      </c>
      <c r="O9" s="98">
        <f t="shared" si="1"/>
        <v>0.17337306676470682</v>
      </c>
      <c r="P9" s="98">
        <f t="shared" si="0"/>
        <v>0.1380444039876973</v>
      </c>
      <c r="Q9" s="98">
        <f t="shared" si="0"/>
        <v>0.11259400236370792</v>
      </c>
      <c r="R9" s="98">
        <f t="shared" si="0"/>
        <v>0.12724695813156861</v>
      </c>
      <c r="S9" s="98">
        <f t="shared" si="0"/>
        <v>0.11478246975617762</v>
      </c>
      <c r="T9" s="98">
        <f t="shared" si="0"/>
        <v>7.3218839293332047E-2</v>
      </c>
      <c r="U9" s="97" t="s">
        <v>85</v>
      </c>
      <c r="V9" s="93"/>
      <c r="W9" s="93"/>
      <c r="X9" s="93"/>
    </row>
    <row r="10" spans="2:29">
      <c r="B10" s="94" t="s">
        <v>111</v>
      </c>
      <c r="C10" s="91" t="s">
        <v>37</v>
      </c>
      <c r="D10" s="91"/>
      <c r="E10" s="91"/>
      <c r="F10" s="91"/>
      <c r="G10" s="91"/>
      <c r="H10" s="91"/>
      <c r="I10" s="91">
        <f>'Data input'!G32*1.6</f>
        <v>1.2000000000000002</v>
      </c>
      <c r="J10" s="313" t="s">
        <v>85</v>
      </c>
      <c r="M10" s="99"/>
      <c r="N10" s="97" t="s">
        <v>41</v>
      </c>
      <c r="O10" s="98">
        <f t="shared" si="1"/>
        <v>0.10837258108469537</v>
      </c>
      <c r="P10" s="98">
        <f t="shared" si="0"/>
        <v>8.1527785882910819E-2</v>
      </c>
      <c r="Q10" s="98">
        <f t="shared" si="0"/>
        <v>6.9687842553582E-2</v>
      </c>
      <c r="R10" s="98">
        <f t="shared" si="0"/>
        <v>9.5351414408806401E-2</v>
      </c>
      <c r="S10" s="98">
        <f t="shared" si="0"/>
        <v>8.1527785882910819E-2</v>
      </c>
      <c r="T10" s="98">
        <f t="shared" si="0"/>
        <v>8.27419851794612E-2</v>
      </c>
      <c r="U10" s="97" t="s">
        <v>85</v>
      </c>
      <c r="V10" s="93"/>
      <c r="W10" s="93"/>
      <c r="X10" s="93"/>
    </row>
    <row r="11" spans="2:29">
      <c r="B11" s="91"/>
      <c r="C11" s="91" t="s">
        <v>39</v>
      </c>
      <c r="D11" s="91"/>
      <c r="E11" s="91"/>
      <c r="F11" s="91"/>
      <c r="G11" s="91"/>
      <c r="H11" s="91"/>
      <c r="I11" s="91">
        <f>'Data input'!G33*1.6</f>
        <v>0</v>
      </c>
      <c r="J11" s="313" t="s">
        <v>85</v>
      </c>
      <c r="M11" s="96"/>
      <c r="N11" s="91"/>
      <c r="O11" s="96"/>
      <c r="P11" s="96"/>
      <c r="Q11" s="96"/>
      <c r="R11" s="96"/>
      <c r="S11" s="96"/>
      <c r="T11" s="97"/>
      <c r="U11" s="97"/>
      <c r="V11" s="93"/>
      <c r="W11" s="93"/>
      <c r="X11" s="93"/>
    </row>
    <row r="12" spans="2:29">
      <c r="B12" s="91"/>
      <c r="C12" s="91" t="s">
        <v>40</v>
      </c>
      <c r="D12" s="91"/>
      <c r="E12" s="91"/>
      <c r="F12" s="91"/>
      <c r="G12" s="91"/>
      <c r="H12" s="91"/>
      <c r="I12" s="91">
        <f>'Data input'!G34*1.6</f>
        <v>0</v>
      </c>
      <c r="J12" s="313" t="s">
        <v>85</v>
      </c>
      <c r="M12" s="103" t="s">
        <v>115</v>
      </c>
      <c r="N12" s="97"/>
      <c r="O12" s="94" t="s">
        <v>116</v>
      </c>
      <c r="P12" s="97"/>
      <c r="Q12" s="97"/>
      <c r="R12" s="97"/>
      <c r="S12" s="97"/>
      <c r="T12" s="97"/>
      <c r="U12" s="97"/>
      <c r="V12" s="93" t="s">
        <v>117</v>
      </c>
      <c r="W12" s="93" t="s">
        <v>209</v>
      </c>
      <c r="X12" s="93" t="s">
        <v>523</v>
      </c>
    </row>
    <row r="13" spans="2:29">
      <c r="B13" s="91"/>
      <c r="C13" s="91" t="s">
        <v>41</v>
      </c>
      <c r="D13" s="91"/>
      <c r="E13" s="91"/>
      <c r="F13" s="91"/>
      <c r="G13" s="100"/>
      <c r="H13" s="91"/>
      <c r="I13" s="91">
        <f>'Data input'!G35*1.6</f>
        <v>0.4</v>
      </c>
      <c r="J13" s="313" t="s">
        <v>85</v>
      </c>
      <c r="M13" s="97"/>
      <c r="N13" s="91"/>
      <c r="O13" s="97"/>
      <c r="P13" s="97"/>
      <c r="Q13" s="97"/>
      <c r="R13" s="97"/>
      <c r="S13" s="97"/>
      <c r="T13" s="97"/>
      <c r="U13" s="198"/>
      <c r="V13" s="199"/>
      <c r="W13" s="199"/>
      <c r="X13" s="199"/>
    </row>
    <row r="14" spans="2:29">
      <c r="B14" s="91"/>
      <c r="C14" s="91"/>
      <c r="D14" s="91"/>
      <c r="E14" s="91"/>
      <c r="F14" s="91"/>
      <c r="G14" s="91"/>
      <c r="H14" s="91"/>
      <c r="I14" s="91"/>
      <c r="J14" s="313"/>
      <c r="M14" s="97"/>
      <c r="N14" s="194" t="s">
        <v>121</v>
      </c>
      <c r="O14" s="195"/>
      <c r="P14" s="196"/>
      <c r="Q14" s="196"/>
      <c r="R14" s="196"/>
      <c r="S14" s="196"/>
      <c r="T14" s="197"/>
      <c r="U14" s="97"/>
      <c r="V14" s="93" t="s">
        <v>119</v>
      </c>
      <c r="W14" s="93" t="s">
        <v>528</v>
      </c>
      <c r="X14" s="93"/>
    </row>
    <row r="15" spans="2:29">
      <c r="B15" s="94" t="s">
        <v>70</v>
      </c>
      <c r="C15" s="91" t="s">
        <v>37</v>
      </c>
      <c r="D15" s="311">
        <f>'Enteric fermentation'!N21</f>
        <v>1.5635664642373499</v>
      </c>
      <c r="E15" s="311">
        <f>'Enteric fermentation'!O21</f>
        <v>1.3266722963263244</v>
      </c>
      <c r="F15" s="311">
        <f>'Enteric fermentation'!P21</f>
        <v>0.98919258666492738</v>
      </c>
      <c r="G15" s="311">
        <f>'Enteric fermentation'!Q21</f>
        <v>1.3220200172712335</v>
      </c>
      <c r="H15" s="311">
        <f>'Enteric fermentation'!R21</f>
        <v>1.0993929457557035</v>
      </c>
      <c r="I15" s="311">
        <f>'Enteric fermentation'!S21</f>
        <v>0.46586257486222699</v>
      </c>
      <c r="J15" s="314" t="str">
        <f>'Enteric fermentation'!T21</f>
        <v>kg DM/head/day</v>
      </c>
      <c r="M15" s="97"/>
      <c r="N15" s="319"/>
      <c r="O15" s="320" t="s">
        <v>5</v>
      </c>
      <c r="P15" s="321" t="s">
        <v>6</v>
      </c>
      <c r="Q15" s="321" t="s">
        <v>529</v>
      </c>
      <c r="R15" s="321" t="s">
        <v>530</v>
      </c>
      <c r="S15" s="321" t="s">
        <v>531</v>
      </c>
      <c r="T15" s="322" t="s">
        <v>532</v>
      </c>
      <c r="U15" s="97"/>
      <c r="V15" s="93"/>
      <c r="W15" s="93"/>
      <c r="X15" s="93"/>
    </row>
    <row r="16" spans="2:29">
      <c r="B16" s="91"/>
      <c r="C16" s="91" t="s">
        <v>39</v>
      </c>
      <c r="D16" s="311">
        <f>'Enteric fermentation'!N22</f>
        <v>1.1576867504320847</v>
      </c>
      <c r="E16" s="311">
        <f>'Enteric fermentation'!O22</f>
        <v>0.9596982166374306</v>
      </c>
      <c r="F16" s="311">
        <f>'Enteric fermentation'!P22</f>
        <v>0.77200609999281467</v>
      </c>
      <c r="G16" s="311">
        <f>'Enteric fermentation'!Q22</f>
        <v>0.86433831713524611</v>
      </c>
      <c r="H16" s="311">
        <f>'Enteric fermentation'!R22</f>
        <v>0.86433831713524611</v>
      </c>
      <c r="I16" s="311">
        <f>'Enteric fermentation'!S22</f>
        <v>0.47467332413476371</v>
      </c>
      <c r="J16" s="314" t="str">
        <f>'Enteric fermentation'!T22</f>
        <v>kg DM/head/day</v>
      </c>
      <c r="M16" s="91"/>
      <c r="N16" s="188" t="s">
        <v>218</v>
      </c>
      <c r="O16" s="189">
        <f>O17</f>
        <v>78</v>
      </c>
      <c r="P16" s="189">
        <f t="shared" ref="P16:T16" si="2">P17</f>
        <v>62</v>
      </c>
      <c r="Q16" s="189">
        <f t="shared" si="2"/>
        <v>57</v>
      </c>
      <c r="R16" s="189">
        <f t="shared" si="2"/>
        <v>57</v>
      </c>
      <c r="S16" s="189">
        <f t="shared" si="2"/>
        <v>57</v>
      </c>
      <c r="T16" s="190">
        <f t="shared" si="2"/>
        <v>60</v>
      </c>
      <c r="U16" s="97" t="s">
        <v>118</v>
      </c>
      <c r="V16" s="105"/>
      <c r="W16" s="105"/>
      <c r="X16" s="105"/>
      <c r="Y16" s="136"/>
      <c r="Z16" s="220"/>
      <c r="AA16" s="136"/>
      <c r="AB16" s="136"/>
      <c r="AC16" s="136"/>
    </row>
    <row r="17" spans="2:29">
      <c r="B17" s="91"/>
      <c r="C17" s="91" t="s">
        <v>40</v>
      </c>
      <c r="D17" s="311">
        <f>'Enteric fermentation'!N23</f>
        <v>1.3336389751131292</v>
      </c>
      <c r="E17" s="311">
        <f>'Enteric fermentation'!O23</f>
        <v>1.0618800306745946</v>
      </c>
      <c r="F17" s="311">
        <f>'Enteric fermentation'!P23</f>
        <v>0.86610771049006097</v>
      </c>
      <c r="G17" s="311">
        <f>'Enteric fermentation'!Q23</f>
        <v>0.97882275485822012</v>
      </c>
      <c r="H17" s="311">
        <f>'Enteric fermentation'!R23</f>
        <v>0.88294207504752009</v>
      </c>
      <c r="I17" s="311">
        <f>'Enteric fermentation'!S23</f>
        <v>0.56322184071793879</v>
      </c>
      <c r="J17" s="314" t="str">
        <f>'Enteric fermentation'!T23</f>
        <v>kg DM/head/day</v>
      </c>
      <c r="M17" s="91"/>
      <c r="N17" s="188" t="s">
        <v>227</v>
      </c>
      <c r="O17" s="189">
        <v>78</v>
      </c>
      <c r="P17" s="189">
        <v>62</v>
      </c>
      <c r="Q17" s="189">
        <v>57</v>
      </c>
      <c r="R17" s="189">
        <v>57</v>
      </c>
      <c r="S17" s="189">
        <v>57</v>
      </c>
      <c r="T17" s="190">
        <v>60</v>
      </c>
      <c r="U17" s="97" t="s">
        <v>118</v>
      </c>
      <c r="V17" s="105"/>
      <c r="W17" s="105"/>
      <c r="X17" s="105"/>
      <c r="Y17" s="136"/>
      <c r="Z17" s="220"/>
      <c r="AA17" s="136"/>
      <c r="AB17" s="136"/>
      <c r="AC17" s="136"/>
    </row>
    <row r="18" spans="2:29">
      <c r="B18" s="91"/>
      <c r="C18" s="91" t="s">
        <v>41</v>
      </c>
      <c r="D18" s="311">
        <f>'Enteric fermentation'!N24</f>
        <v>1.0837258108469536</v>
      </c>
      <c r="E18" s="311">
        <f>'Enteric fermentation'!O24</f>
        <v>0.81527785882910808</v>
      </c>
      <c r="F18" s="311">
        <f>'Enteric fermentation'!P24</f>
        <v>0.69687842553582002</v>
      </c>
      <c r="G18" s="311">
        <f>'Enteric fermentation'!Q24</f>
        <v>0.95351414408806401</v>
      </c>
      <c r="H18" s="311">
        <f>'Enteric fermentation'!R24</f>
        <v>0.81527785882910808</v>
      </c>
      <c r="I18" s="311">
        <f>'Enteric fermentation'!S24</f>
        <v>0.64741985179461192</v>
      </c>
      <c r="J18" s="314" t="str">
        <f>'Enteric fermentation'!T24</f>
        <v>kg DM/head/day</v>
      </c>
      <c r="M18" s="91"/>
      <c r="N18" s="188" t="s">
        <v>219</v>
      </c>
      <c r="O18" s="189">
        <v>77</v>
      </c>
      <c r="P18" s="189">
        <v>66</v>
      </c>
      <c r="Q18" s="189">
        <v>55</v>
      </c>
      <c r="R18" s="189">
        <v>55</v>
      </c>
      <c r="S18" s="189">
        <v>55</v>
      </c>
      <c r="T18" s="190">
        <v>60</v>
      </c>
      <c r="U18" s="97" t="s">
        <v>118</v>
      </c>
      <c r="V18" s="105"/>
      <c r="W18" s="105"/>
      <c r="X18" s="105"/>
      <c r="Y18" s="136"/>
      <c r="Z18" s="220"/>
      <c r="AA18" s="136"/>
      <c r="AB18" s="136"/>
      <c r="AC18" s="136"/>
    </row>
    <row r="19" spans="2:29">
      <c r="B19" s="91"/>
      <c r="C19" s="91"/>
      <c r="D19" s="91"/>
      <c r="E19" s="91"/>
      <c r="F19" s="91"/>
      <c r="G19" s="91"/>
      <c r="H19" s="91"/>
      <c r="I19" s="91"/>
      <c r="J19" s="313"/>
      <c r="M19" s="91"/>
      <c r="N19" s="188" t="s">
        <v>220</v>
      </c>
      <c r="O19" s="189">
        <v>84</v>
      </c>
      <c r="P19" s="189">
        <v>72</v>
      </c>
      <c r="Q19" s="189">
        <v>60</v>
      </c>
      <c r="R19" s="189">
        <v>60</v>
      </c>
      <c r="S19" s="189">
        <v>60</v>
      </c>
      <c r="T19" s="190">
        <v>66</v>
      </c>
      <c r="U19" s="97" t="s">
        <v>118</v>
      </c>
      <c r="V19" s="105"/>
      <c r="W19" s="105"/>
      <c r="X19" s="105"/>
      <c r="Y19" s="136"/>
      <c r="Z19" s="220"/>
      <c r="AA19" s="136"/>
      <c r="AB19" s="136"/>
      <c r="AC19" s="136"/>
    </row>
    <row r="20" spans="2:29" ht="18.5" customHeight="1">
      <c r="B20" s="94" t="s">
        <v>190</v>
      </c>
      <c r="C20" s="91" t="s">
        <v>37</v>
      </c>
      <c r="D20" s="91">
        <f>'Data input'!D50</f>
        <v>70</v>
      </c>
      <c r="E20" s="91">
        <f>'Data input'!E50</f>
        <v>70</v>
      </c>
      <c r="F20" s="91">
        <f>'Data input'!F50</f>
        <v>70</v>
      </c>
      <c r="G20" s="91">
        <f>'Data input'!G50</f>
        <v>70</v>
      </c>
      <c r="H20" s="91">
        <f>'Data input'!H50</f>
        <v>70</v>
      </c>
      <c r="I20" s="91">
        <f>'Data input'!I50</f>
        <v>70</v>
      </c>
      <c r="J20" s="313" t="str">
        <f>'Data input'!J50</f>
        <v>%</v>
      </c>
      <c r="M20" s="91"/>
      <c r="N20" s="188" t="s">
        <v>98</v>
      </c>
      <c r="O20" s="189">
        <v>84</v>
      </c>
      <c r="P20" s="189">
        <v>72</v>
      </c>
      <c r="Q20" s="189">
        <v>60</v>
      </c>
      <c r="R20" s="189">
        <v>60</v>
      </c>
      <c r="S20" s="189">
        <v>60</v>
      </c>
      <c r="T20" s="190">
        <v>66</v>
      </c>
      <c r="U20" s="97" t="s">
        <v>118</v>
      </c>
      <c r="V20" s="105"/>
      <c r="W20" s="105"/>
      <c r="X20" s="105"/>
      <c r="Y20" s="136"/>
      <c r="Z20" s="220"/>
      <c r="AA20" s="136"/>
      <c r="AB20" s="136"/>
      <c r="AC20" s="136"/>
    </row>
    <row r="21" spans="2:29" ht="20.25" customHeight="1">
      <c r="B21" s="91"/>
      <c r="C21" s="91" t="s">
        <v>39</v>
      </c>
      <c r="D21" s="91">
        <f>'Data input'!D51</f>
        <v>55</v>
      </c>
      <c r="E21" s="91">
        <f>'Data input'!E51</f>
        <v>55</v>
      </c>
      <c r="F21" s="91">
        <f>'Data input'!F51</f>
        <v>55</v>
      </c>
      <c r="G21" s="91">
        <f>'Data input'!G51</f>
        <v>55</v>
      </c>
      <c r="H21" s="91">
        <f>'Data input'!H51</f>
        <v>55</v>
      </c>
      <c r="I21" s="91">
        <f>'Data input'!I51</f>
        <v>60</v>
      </c>
      <c r="J21" s="313" t="str">
        <f>'Data input'!J51</f>
        <v>%</v>
      </c>
      <c r="M21" s="91"/>
      <c r="N21" s="188" t="s">
        <v>221</v>
      </c>
      <c r="O21" s="189">
        <v>70</v>
      </c>
      <c r="P21" s="189">
        <v>60</v>
      </c>
      <c r="Q21" s="189">
        <v>50</v>
      </c>
      <c r="R21" s="189">
        <v>50</v>
      </c>
      <c r="S21" s="189">
        <v>50</v>
      </c>
      <c r="T21" s="190">
        <v>55</v>
      </c>
      <c r="U21" s="97" t="s">
        <v>118</v>
      </c>
      <c r="V21" s="105"/>
      <c r="W21" s="105"/>
      <c r="X21" s="105"/>
      <c r="Y21" s="136"/>
      <c r="Z21" s="220"/>
      <c r="AA21" s="136"/>
      <c r="AB21" s="136"/>
      <c r="AC21" s="136"/>
    </row>
    <row r="22" spans="2:29" ht="18.5" customHeight="1">
      <c r="B22" s="91"/>
      <c r="C22" s="91" t="s">
        <v>40</v>
      </c>
      <c r="D22" s="91">
        <f>'Data input'!D52</f>
        <v>65</v>
      </c>
      <c r="E22" s="91">
        <f>'Data input'!E52</f>
        <v>65</v>
      </c>
      <c r="F22" s="91">
        <f>'Data input'!F52</f>
        <v>65</v>
      </c>
      <c r="G22" s="91">
        <f>'Data input'!G52</f>
        <v>65</v>
      </c>
      <c r="H22" s="91">
        <f>'Data input'!H52</f>
        <v>65</v>
      </c>
      <c r="I22" s="91">
        <f>'Data input'!I52</f>
        <v>60</v>
      </c>
      <c r="J22" s="313" t="str">
        <f>'Data input'!J52</f>
        <v>%</v>
      </c>
      <c r="M22" s="91"/>
      <c r="N22" s="188" t="s">
        <v>222</v>
      </c>
      <c r="O22" s="189">
        <v>70</v>
      </c>
      <c r="P22" s="189">
        <v>60</v>
      </c>
      <c r="Q22" s="189">
        <v>50</v>
      </c>
      <c r="R22" s="189">
        <v>50</v>
      </c>
      <c r="S22" s="189">
        <v>50</v>
      </c>
      <c r="T22" s="190">
        <v>55</v>
      </c>
      <c r="U22" s="97" t="s">
        <v>118</v>
      </c>
      <c r="V22" s="105"/>
      <c r="W22" s="105"/>
      <c r="X22" s="105"/>
      <c r="Y22" s="136"/>
      <c r="Z22" s="220"/>
      <c r="AA22" s="136"/>
      <c r="AB22" s="136"/>
      <c r="AC22" s="136"/>
    </row>
    <row r="23" spans="2:29" ht="19.8" customHeight="1">
      <c r="B23" s="91"/>
      <c r="C23" s="91" t="s">
        <v>41</v>
      </c>
      <c r="D23" s="91">
        <f>'Data input'!D53</f>
        <v>60</v>
      </c>
      <c r="E23" s="91">
        <f>'Data input'!E53</f>
        <v>60</v>
      </c>
      <c r="F23" s="91">
        <f>'Data input'!F53</f>
        <v>60</v>
      </c>
      <c r="G23" s="91">
        <f>'Data input'!G53</f>
        <v>60</v>
      </c>
      <c r="H23" s="91">
        <f>'Data input'!H53</f>
        <v>60</v>
      </c>
      <c r="I23" s="91">
        <f>'Data input'!I53</f>
        <v>60</v>
      </c>
      <c r="J23" s="313" t="str">
        <f>'Data input'!J53</f>
        <v>%</v>
      </c>
      <c r="M23" s="91"/>
      <c r="N23" s="188" t="s">
        <v>97</v>
      </c>
      <c r="O23" s="189">
        <v>70</v>
      </c>
      <c r="P23" s="189">
        <v>60</v>
      </c>
      <c r="Q23" s="189">
        <v>50</v>
      </c>
      <c r="R23" s="189">
        <v>50</v>
      </c>
      <c r="S23" s="189">
        <v>50</v>
      </c>
      <c r="T23" s="190">
        <v>55</v>
      </c>
      <c r="U23" s="97" t="s">
        <v>118</v>
      </c>
      <c r="V23" s="105"/>
      <c r="W23" s="105"/>
      <c r="X23" s="105"/>
      <c r="Y23" s="136"/>
      <c r="Z23" s="220"/>
      <c r="AA23" s="136"/>
      <c r="AB23" s="136"/>
      <c r="AC23" s="136"/>
    </row>
    <row r="24" spans="2:29">
      <c r="B24" s="91"/>
      <c r="C24" s="91"/>
      <c r="D24" s="91"/>
      <c r="E24" s="91"/>
      <c r="F24" s="91"/>
      <c r="G24" s="91"/>
      <c r="H24" s="91"/>
      <c r="I24" s="91"/>
      <c r="J24" s="313"/>
      <c r="M24" s="91"/>
      <c r="N24" s="188" t="s">
        <v>247</v>
      </c>
      <c r="O24" s="189">
        <f>O23</f>
        <v>70</v>
      </c>
      <c r="P24" s="189">
        <f t="shared" ref="P24:T24" si="3">P23</f>
        <v>60</v>
      </c>
      <c r="Q24" s="189">
        <f t="shared" si="3"/>
        <v>50</v>
      </c>
      <c r="R24" s="189">
        <f t="shared" si="3"/>
        <v>50</v>
      </c>
      <c r="S24" s="189">
        <f t="shared" si="3"/>
        <v>50</v>
      </c>
      <c r="T24" s="323">
        <f t="shared" si="3"/>
        <v>55</v>
      </c>
      <c r="U24" s="97" t="s">
        <v>118</v>
      </c>
      <c r="V24" s="105"/>
      <c r="W24" s="105"/>
      <c r="X24" s="105"/>
      <c r="Y24" s="136"/>
      <c r="Z24" s="220"/>
      <c r="AA24" s="136"/>
      <c r="AB24" s="136"/>
      <c r="AC24" s="136"/>
    </row>
    <row r="25" spans="2:29">
      <c r="B25" s="94" t="s">
        <v>120</v>
      </c>
      <c r="C25" s="91" t="s">
        <v>37</v>
      </c>
      <c r="D25" s="104">
        <f t="shared" ref="D25:I25" si="4">0.1604*D20-1.037</f>
        <v>10.190999999999999</v>
      </c>
      <c r="E25" s="104">
        <f t="shared" si="4"/>
        <v>10.190999999999999</v>
      </c>
      <c r="F25" s="104">
        <f t="shared" si="4"/>
        <v>10.190999999999999</v>
      </c>
      <c r="G25" s="104">
        <f t="shared" si="4"/>
        <v>10.190999999999999</v>
      </c>
      <c r="H25" s="104">
        <f t="shared" si="4"/>
        <v>10.190999999999999</v>
      </c>
      <c r="I25" s="104">
        <f t="shared" si="4"/>
        <v>10.190999999999999</v>
      </c>
      <c r="J25" s="315" t="s">
        <v>48</v>
      </c>
      <c r="M25" s="91"/>
      <c r="N25" s="191" t="str">
        <f>'Electicity &amp; Diesel'!L13</f>
        <v>Vic</v>
      </c>
      <c r="O25" s="192">
        <f>INDEX(O16:O24,MATCH(N25,N16:N24,0))</f>
        <v>70</v>
      </c>
      <c r="P25" s="192">
        <f>INDEX(P16:P24,MATCH(N25,N16:N24,0))</f>
        <v>60</v>
      </c>
      <c r="Q25" s="192">
        <f>INDEX(Q16:Q24,MATCH(N25,N16:N24,0))</f>
        <v>50</v>
      </c>
      <c r="R25" s="192">
        <f>INDEX(R16:R24,MATCH(N25,N16:N24,0))</f>
        <v>50</v>
      </c>
      <c r="S25" s="192">
        <f>INDEX(S16:S24,MATCH(N25,N16:N24,0))</f>
        <v>50</v>
      </c>
      <c r="T25" s="193">
        <f>INDEX(T16:T24,MATCH(N25,N16:N24,0))</f>
        <v>55</v>
      </c>
      <c r="U25" s="97" t="s">
        <v>118</v>
      </c>
      <c r="V25" s="105"/>
      <c r="W25" s="105"/>
      <c r="X25" s="105"/>
      <c r="Y25" s="136"/>
      <c r="Z25" s="136"/>
      <c r="AA25" s="136"/>
      <c r="AB25" s="136"/>
      <c r="AC25" s="136"/>
    </row>
    <row r="26" spans="2:29">
      <c r="B26" s="91"/>
      <c r="C26" s="91" t="s">
        <v>39</v>
      </c>
      <c r="D26" s="104">
        <f t="shared" ref="D26:I26" si="5">0.1604*D21-1.037</f>
        <v>7.7849999999999993</v>
      </c>
      <c r="E26" s="104">
        <f t="shared" si="5"/>
        <v>7.7849999999999993</v>
      </c>
      <c r="F26" s="104">
        <f t="shared" si="5"/>
        <v>7.7849999999999993</v>
      </c>
      <c r="G26" s="104">
        <f t="shared" si="5"/>
        <v>7.7849999999999993</v>
      </c>
      <c r="H26" s="104">
        <f t="shared" si="5"/>
        <v>7.7849999999999993</v>
      </c>
      <c r="I26" s="104">
        <f t="shared" si="5"/>
        <v>8.5869999999999997</v>
      </c>
      <c r="J26" s="315" t="s">
        <v>48</v>
      </c>
      <c r="M26" s="91"/>
      <c r="N26" s="91"/>
      <c r="O26" s="91"/>
      <c r="P26" s="91"/>
      <c r="Q26" s="91"/>
      <c r="R26" s="91"/>
      <c r="S26" s="91"/>
      <c r="T26" s="91"/>
      <c r="U26" s="91"/>
      <c r="V26" s="105"/>
      <c r="W26" s="105"/>
      <c r="X26" s="105"/>
      <c r="Y26" s="136"/>
      <c r="Z26" s="136"/>
      <c r="AA26" s="136"/>
      <c r="AB26" s="136"/>
      <c r="AC26" s="136"/>
    </row>
    <row r="27" spans="2:29">
      <c r="B27" s="91"/>
      <c r="C27" s="91" t="s">
        <v>40</v>
      </c>
      <c r="D27" s="104">
        <f t="shared" ref="D27:I27" si="6">0.1604*D22-1.037</f>
        <v>9.3889999999999993</v>
      </c>
      <c r="E27" s="104">
        <f t="shared" si="6"/>
        <v>9.3889999999999993</v>
      </c>
      <c r="F27" s="104">
        <f t="shared" si="6"/>
        <v>9.3889999999999993</v>
      </c>
      <c r="G27" s="104">
        <f t="shared" si="6"/>
        <v>9.3889999999999993</v>
      </c>
      <c r="H27" s="104">
        <f t="shared" si="6"/>
        <v>9.3889999999999993</v>
      </c>
      <c r="I27" s="104">
        <f t="shared" si="6"/>
        <v>8.5869999999999997</v>
      </c>
      <c r="J27" s="315" t="s">
        <v>48</v>
      </c>
      <c r="M27" s="97"/>
      <c r="N27" s="97" t="s">
        <v>37</v>
      </c>
      <c r="O27" s="106">
        <f t="shared" ref="O27:T30" si="7">((0.045*D30)+(D$35*0.84)+(((212-4*(((D38*1000)/(4*O$25^0.75))-1))-(140-4*(((D38*1000)/(4*O$25^0.75))-1))/(1+EXP(-6*(D43-0.4))))*D38)/1000)/6.25</f>
        <v>2.2147227718988288E-3</v>
      </c>
      <c r="P27" s="106">
        <f t="shared" si="7"/>
        <v>2.9932692589143446E-3</v>
      </c>
      <c r="Q27" s="106">
        <f t="shared" si="7"/>
        <v>1.6127588235998842E-3</v>
      </c>
      <c r="R27" s="106">
        <f t="shared" si="7"/>
        <v>1.0382342890814571E-2</v>
      </c>
      <c r="S27" s="106">
        <f t="shared" si="7"/>
        <v>1.6569863013698629E-3</v>
      </c>
      <c r="T27" s="106">
        <f t="shared" si="7"/>
        <v>4.8733337879175555E-3</v>
      </c>
      <c r="U27" s="91" t="s">
        <v>85</v>
      </c>
      <c r="V27" s="93"/>
      <c r="W27" s="93"/>
      <c r="X27" s="93"/>
      <c r="Y27" s="136"/>
      <c r="Z27" s="136"/>
      <c r="AA27" s="136"/>
      <c r="AB27" s="136"/>
      <c r="AC27" s="136"/>
    </row>
    <row r="28" spans="2:29">
      <c r="B28" s="91"/>
      <c r="C28" s="91" t="s">
        <v>41</v>
      </c>
      <c r="D28" s="104">
        <f t="shared" ref="D28:I28" si="8">0.1604*D23-1.037</f>
        <v>8.5869999999999997</v>
      </c>
      <c r="E28" s="104">
        <f t="shared" si="8"/>
        <v>8.5869999999999997</v>
      </c>
      <c r="F28" s="104">
        <f t="shared" si="8"/>
        <v>8.5869999999999997</v>
      </c>
      <c r="G28" s="104">
        <f t="shared" si="8"/>
        <v>8.5869999999999997</v>
      </c>
      <c r="H28" s="104">
        <f t="shared" si="8"/>
        <v>8.5869999999999997</v>
      </c>
      <c r="I28" s="104">
        <f t="shared" si="8"/>
        <v>8.5869999999999997</v>
      </c>
      <c r="J28" s="315" t="s">
        <v>48</v>
      </c>
      <c r="M28" s="97"/>
      <c r="N28" s="97" t="s">
        <v>39</v>
      </c>
      <c r="O28" s="106">
        <f t="shared" si="7"/>
        <v>1.0838390814730226E-3</v>
      </c>
      <c r="P28" s="106">
        <f t="shared" si="7"/>
        <v>1.1911682868030599E-3</v>
      </c>
      <c r="Q28" s="106">
        <f t="shared" si="7"/>
        <v>1.3808219178082189E-3</v>
      </c>
      <c r="R28" s="106">
        <f t="shared" si="7"/>
        <v>1.3808219178082189E-3</v>
      </c>
      <c r="S28" s="106">
        <f t="shared" si="7"/>
        <v>1.6569863013698629E-3</v>
      </c>
      <c r="T28" s="106">
        <f t="shared" si="7"/>
        <v>1.5191980762219762E-3</v>
      </c>
      <c r="U28" s="91" t="s">
        <v>85</v>
      </c>
      <c r="V28" s="93"/>
      <c r="W28" s="93"/>
      <c r="X28" s="93"/>
    </row>
    <row r="29" spans="2:29">
      <c r="B29" s="91"/>
      <c r="C29" s="91"/>
      <c r="D29" s="91"/>
      <c r="E29" s="91"/>
      <c r="F29" s="91"/>
      <c r="G29" s="91"/>
      <c r="H29" s="91"/>
      <c r="I29" s="91"/>
      <c r="J29" s="313"/>
      <c r="M29" s="97"/>
      <c r="N29" s="97" t="s">
        <v>40</v>
      </c>
      <c r="O29" s="106">
        <f t="shared" si="7"/>
        <v>1.6569863013698629E-3</v>
      </c>
      <c r="P29" s="106">
        <f t="shared" si="7"/>
        <v>1.4127232943584569E-3</v>
      </c>
      <c r="Q29" s="106">
        <f t="shared" si="7"/>
        <v>1.1434479124706283E-3</v>
      </c>
      <c r="R29" s="106">
        <f t="shared" si="7"/>
        <v>1.1545260060047602E-3</v>
      </c>
      <c r="S29" s="106">
        <f t="shared" si="7"/>
        <v>1.6569863013698629E-3</v>
      </c>
      <c r="T29" s="106">
        <f t="shared" si="7"/>
        <v>1.3896299997984767E-3</v>
      </c>
      <c r="U29" s="91" t="s">
        <v>85</v>
      </c>
      <c r="V29" s="93"/>
      <c r="W29" s="93"/>
      <c r="X29" s="93"/>
    </row>
    <row r="30" spans="2:29">
      <c r="B30" s="94" t="s">
        <v>122</v>
      </c>
      <c r="C30" s="91" t="s">
        <v>37</v>
      </c>
      <c r="D30" s="91"/>
      <c r="E30" s="91"/>
      <c r="F30" s="91"/>
      <c r="G30" s="91">
        <f>'Enteric fermentation'!G35*1.6</f>
        <v>1.08</v>
      </c>
      <c r="H30" s="91"/>
      <c r="I30" s="91"/>
      <c r="J30" s="313" t="s">
        <v>43</v>
      </c>
      <c r="M30" s="91"/>
      <c r="N30" s="97" t="s">
        <v>41</v>
      </c>
      <c r="O30" s="106">
        <f t="shared" si="7"/>
        <v>1.6569863013698629E-3</v>
      </c>
      <c r="P30" s="106">
        <f t="shared" si="7"/>
        <v>1.5260000646985716E-3</v>
      </c>
      <c r="Q30" s="106">
        <f t="shared" si="7"/>
        <v>1.3808219178082189E-3</v>
      </c>
      <c r="R30" s="106">
        <f t="shared" si="7"/>
        <v>3.9728219178082188E-3</v>
      </c>
      <c r="S30" s="106">
        <f t="shared" si="7"/>
        <v>1.6569863013698629E-3</v>
      </c>
      <c r="T30" s="106">
        <f t="shared" si="7"/>
        <v>1.864793778609799E-3</v>
      </c>
      <c r="U30" s="91" t="s">
        <v>85</v>
      </c>
      <c r="V30" s="93"/>
      <c r="W30" s="93"/>
      <c r="X30" s="93"/>
    </row>
    <row r="31" spans="2:29">
      <c r="B31" s="91"/>
      <c r="C31" s="91" t="s">
        <v>39</v>
      </c>
      <c r="D31" s="91"/>
      <c r="E31" s="91"/>
      <c r="F31" s="91"/>
      <c r="G31" s="91">
        <f>'Enteric fermentation'!G36*1.6</f>
        <v>0</v>
      </c>
      <c r="H31" s="91"/>
      <c r="I31" s="91"/>
      <c r="J31" s="313" t="s">
        <v>43</v>
      </c>
      <c r="M31" s="91"/>
      <c r="N31" s="91"/>
      <c r="O31" s="91"/>
      <c r="P31" s="91"/>
      <c r="Q31" s="91"/>
      <c r="R31" s="91"/>
      <c r="S31" s="91"/>
      <c r="T31" s="91"/>
      <c r="U31" s="91"/>
      <c r="V31" s="93"/>
      <c r="W31" s="93"/>
      <c r="X31" s="93"/>
    </row>
    <row r="32" spans="2:29">
      <c r="B32" s="91"/>
      <c r="C32" s="91" t="s">
        <v>40</v>
      </c>
      <c r="D32" s="91"/>
      <c r="E32" s="91"/>
      <c r="F32" s="91"/>
      <c r="G32" s="91">
        <f>'Enteric fermentation'!G37*1.6</f>
        <v>0</v>
      </c>
      <c r="H32" s="91"/>
      <c r="I32" s="91"/>
      <c r="J32" s="313" t="s">
        <v>43</v>
      </c>
      <c r="M32" s="95" t="s">
        <v>112</v>
      </c>
      <c r="N32" s="96"/>
      <c r="O32" s="94" t="s">
        <v>113</v>
      </c>
      <c r="P32" s="96"/>
      <c r="Q32" s="96"/>
      <c r="R32" s="96"/>
      <c r="S32" s="96"/>
      <c r="T32" s="97"/>
      <c r="U32" s="97"/>
      <c r="V32" s="93" t="s">
        <v>114</v>
      </c>
      <c r="W32" s="93" t="s">
        <v>210</v>
      </c>
      <c r="X32" s="93" t="s">
        <v>523</v>
      </c>
    </row>
    <row r="33" spans="2:24">
      <c r="B33" s="91"/>
      <c r="C33" s="91" t="s">
        <v>41</v>
      </c>
      <c r="D33" s="91"/>
      <c r="E33" s="91"/>
      <c r="F33" s="91"/>
      <c r="G33" s="91">
        <f>'Enteric fermentation'!G38*1.6</f>
        <v>0.36000000000000004</v>
      </c>
      <c r="H33" s="91"/>
      <c r="I33" s="91"/>
      <c r="J33" s="313" t="s">
        <v>43</v>
      </c>
      <c r="M33" s="96"/>
      <c r="N33" s="97" t="s">
        <v>37</v>
      </c>
      <c r="O33" s="101">
        <f>((0.3*(O7*((1-((D20+10)/100))))+(0.105*(D25*'Enteric fermentation'!N21*0.008))+(0.08*(0.045*D10))+(0.0152*'Enteric fermentation'!N21))/6.25)</f>
        <v>8.3458024345923598E-3</v>
      </c>
      <c r="P33" s="101">
        <f>((0.3*(P7*((1-((E20+10)/100))))+(0.105*(E25*'Enteric fermentation'!O21*0.008))+(0.08*(0.045*E10))+(0.0152*'Enteric fermentation'!O21))/6.25)</f>
        <v>7.0813394466010503E-3</v>
      </c>
      <c r="Q33" s="101">
        <f>((0.3*(Q7*((1-((F20+10)/100))))+(0.105*(F25*'Enteric fermentation'!P21*0.008))+(0.08*(0.045*F10))+(0.0152*'Enteric fermentation'!P21))/6.25)</f>
        <v>5.2799839897408173E-3</v>
      </c>
      <c r="R33" s="101">
        <f>((0.3*(R7*((1-((G20+10)/100))))+(0.105*(G25*'Enteric fermentation'!Q21*0.008))+(0.08*(0.045*G10))+(0.0152*'Enteric fermentation'!Q21))/6.25)</f>
        <v>7.0565071143961515E-3</v>
      </c>
      <c r="S33" s="101">
        <f>((0.3*(S7*((1-((H20+10)/100))))+(0.105*(H25*'Enteric fermentation'!R21*0.008))+(0.08*(0.045*H10))+(0.0152*'Enteric fermentation'!R21))/6.25)</f>
        <v>5.8681971845290226E-3</v>
      </c>
      <c r="T33" s="101">
        <f>((0.3*(T7*((1-((I20+10)/100))))+(0.105*(I25*'Enteric fermentation'!S21*0.008))+(0.08*(0.045*I10))+(0.0152*'Enteric fermentation'!S21))/6.25)</f>
        <v>3.6962208763098932E-3</v>
      </c>
      <c r="U33" s="97" t="s">
        <v>85</v>
      </c>
      <c r="V33" s="102"/>
      <c r="W33" s="102"/>
      <c r="X33" s="102"/>
    </row>
    <row r="34" spans="2:24">
      <c r="B34" s="91"/>
      <c r="C34" s="91"/>
      <c r="D34" s="91"/>
      <c r="E34" s="91"/>
      <c r="F34" s="91"/>
      <c r="G34" s="91"/>
      <c r="H34" s="91"/>
      <c r="I34" s="91"/>
      <c r="J34" s="313"/>
      <c r="M34" s="96"/>
      <c r="N34" s="97" t="s">
        <v>39</v>
      </c>
      <c r="O34" s="101">
        <f>((0.3*(O8*((1-((D21+10)/100))))+(0.105*(D26*'Enteric fermentation'!N22*0.008))+(0.08*(0.045*D11))+(0.0152*'Enteric fermentation'!N22))/6.25)</f>
        <v>5.3882260732830535E-3</v>
      </c>
      <c r="P34" s="101">
        <f>((0.3*(P8*((1-((E21+10)/100))))+(0.105*(E26*'Enteric fermentation'!O22*0.008))+(0.08*(0.045*E11))+(0.0152*'Enteric fermentation'!O22))/6.25)</f>
        <v>4.4667272484884592E-3</v>
      </c>
      <c r="Q34" s="101">
        <f>((0.3*(Q8*((1-((F21+10)/100))))+(0.105*(F26*'Enteric fermentation'!P22*0.008))+(0.08*(0.045*F11))+(0.0152*'Enteric fermentation'!P22))/6.25)</f>
        <v>3.5931510792209572E-3</v>
      </c>
      <c r="R34" s="101">
        <f>((0.3*(R8*((1-((G21+10)/100))))+(0.105*(G26*'Enteric fermentation'!Q22*0.008))+(0.08*(0.045*G11))+(0.0152*'Enteric fermentation'!Q22))/6.25)</f>
        <v>4.0228932867958445E-3</v>
      </c>
      <c r="S34" s="101">
        <f>((0.3*(S8*((1-((H21+10)/100))))+(0.105*(H26*'Enteric fermentation'!R22*0.008))+(0.08*(0.045*H11))+(0.0152*'Enteric fermentation'!R22))/6.25)</f>
        <v>4.0228932867958445E-3</v>
      </c>
      <c r="T34" s="101">
        <f>((0.3*(T8*((1-((I21+10)/100))))+(0.105*(I26*'Enteric fermentation'!S22*0.008))+(0.08*(0.045*I11))+(0.0152*'Enteric fermentation'!S22))/6.25)</f>
        <v>2.3857521767858018E-3</v>
      </c>
      <c r="U34" s="97" t="s">
        <v>85</v>
      </c>
      <c r="V34" s="93"/>
      <c r="W34" s="93"/>
      <c r="X34" s="93"/>
    </row>
    <row r="35" spans="2:24">
      <c r="B35" s="94" t="s">
        <v>123</v>
      </c>
      <c r="C35" s="91"/>
      <c r="D35" s="106">
        <f>'Data input'!D56*'Data input'!D58%/365</f>
        <v>1.2328767123287671E-2</v>
      </c>
      <c r="E35" s="106">
        <f>'Data input'!E56*'Data input'!E58%/365</f>
        <v>1.3150684931506852E-2</v>
      </c>
      <c r="F35" s="106">
        <f>'Data input'!F56*'Data input'!F58%/365</f>
        <v>1.0273972602739725E-2</v>
      </c>
      <c r="G35" s="106">
        <f>'Data input'!G56*'Data input'!G58%/365</f>
        <v>1.0273972602739725E-2</v>
      </c>
      <c r="H35" s="106">
        <f>'Data input'!H56*'Data input'!H58%/365</f>
        <v>1.2328767123287671E-2</v>
      </c>
      <c r="I35" s="106">
        <f>'Data input'!I56*'Data input'!I58%/365</f>
        <v>4.10958904109589E-3</v>
      </c>
      <c r="J35" s="313" t="s">
        <v>43</v>
      </c>
      <c r="M35" s="97"/>
      <c r="N35" s="97" t="s">
        <v>40</v>
      </c>
      <c r="O35" s="101">
        <f>((0.3*(O9*((1-((D22+10)/100))))+(0.105*(D27*'Enteric fermentation'!N23*0.008))+(0.08*(0.045*D12))+(0.0152*'Enteric fermentation'!N23))/6.25)</f>
        <v>7.0067812723897281E-3</v>
      </c>
      <c r="P35" s="101">
        <f>((0.3*(P9*((1-((E22+10)/100))))+(0.105*(E27*'Enteric fermentation'!O23*0.008))+(0.08*(0.045*E12))+(0.0152*'Enteric fermentation'!O23))/6.25)</f>
        <v>5.5789919545686881E-3</v>
      </c>
      <c r="Q35" s="101">
        <f>((0.3*(Q9*((1-((F22+10)/100))))+(0.105*(F27*'Enteric fermentation'!P23*0.008))+(0.08*(0.045*F12))+(0.0152*'Enteric fermentation'!P23))/6.25)</f>
        <v>4.5504273637618584E-3</v>
      </c>
      <c r="R35" s="101">
        <f>((0.3*(R9*((1-((G22+10)/100))))+(0.105*(G27*'Enteric fermentation'!Q23*0.008))+(0.08*(0.045*G12))+(0.0152*'Enteric fermentation'!Q23))/6.25)</f>
        <v>5.1426188614109129E-3</v>
      </c>
      <c r="S35" s="101">
        <f>((0.3*(S9*((1-((H22+10)/100))))+(0.105*(H27*'Enteric fermentation'!R23*0.008))+(0.08*(0.045*H12))+(0.0152*'Enteric fermentation'!R23))/6.25)</f>
        <v>4.6388731219579845E-3</v>
      </c>
      <c r="T35" s="101">
        <f>((0.3*(T9*((1-((I22+10)/100))))+(0.105*(I27*'Enteric fermentation'!S23*0.008))+(0.08*(0.045*I12))+(0.0152*'Enteric fermentation'!S23))/6.25)</f>
        <v>3.0741170736253288E-3</v>
      </c>
      <c r="U35" s="97" t="s">
        <v>85</v>
      </c>
      <c r="V35" s="93"/>
      <c r="W35" s="93"/>
      <c r="X35" s="93"/>
    </row>
    <row r="36" spans="2:24">
      <c r="B36" s="91"/>
      <c r="C36" s="91"/>
      <c r="D36" s="91"/>
      <c r="E36" s="91"/>
      <c r="F36" s="91"/>
      <c r="G36" s="91"/>
      <c r="H36" s="91"/>
      <c r="I36" s="91"/>
      <c r="J36" s="313"/>
      <c r="M36" s="97"/>
      <c r="N36" s="97" t="s">
        <v>41</v>
      </c>
      <c r="O36" s="101">
        <f>((0.3*(O10*((1-((D23+10)/100))))+(0.105*(D28*'Enteric fermentation'!N24*0.008))+(0.08*(0.045*D13))+(0.0152*'Enteric fermentation'!N24))/6.25)</f>
        <v>5.4469064950720359E-3</v>
      </c>
      <c r="P36" s="101">
        <f>((0.3*(P10*((1-((E23+10)/100))))+(0.105*(E28*'Enteric fermentation'!O24*0.008))+(0.08*(0.045*E13))+(0.0152*'Enteric fermentation'!O24))/6.25)</f>
        <v>4.0976621762603971E-3</v>
      </c>
      <c r="Q36" s="101">
        <f>((0.3*(Q10*((1-((F23+10)/100))))+(0.105*(F28*'Enteric fermentation'!P24*0.008))+(0.08*(0.045*F13))+(0.0152*'Enteric fermentation'!P24))/6.25)</f>
        <v>3.5025756370609213E-3</v>
      </c>
      <c r="R36" s="101">
        <f>((0.3*(R10*((1-((G23+10)/100))))+(0.105*(G28*'Enteric fermentation'!Q24*0.008))+(0.08*(0.045*G13))+(0.0152*'Enteric fermentation'!Q24))/6.25)</f>
        <v>4.7924505742991804E-3</v>
      </c>
      <c r="S36" s="101">
        <f>((0.3*(S10*((1-((H23+10)/100))))+(0.105*(H28*'Enteric fermentation'!R24*0.008))+(0.08*(0.045*H13))+(0.0152*'Enteric fermentation'!R24))/6.25)</f>
        <v>4.0976621762603971E-3</v>
      </c>
      <c r="T36" s="101">
        <f>((0.3*(T10*((1-((I23+10)/100))))+(0.105*(I28*'Enteric fermentation'!S24*0.008))+(0.08*(0.045*I13))+(0.0152*'Enteric fermentation'!S24))/6.25)</f>
        <v>3.7435922556819661E-3</v>
      </c>
      <c r="U36" s="97" t="s">
        <v>85</v>
      </c>
      <c r="V36" s="93"/>
      <c r="W36" s="93"/>
      <c r="X36" s="93"/>
    </row>
    <row r="37" spans="2:24">
      <c r="B37" s="91"/>
      <c r="C37" s="91"/>
      <c r="D37" s="91"/>
      <c r="E37" s="91"/>
      <c r="F37" s="91"/>
      <c r="G37" s="91"/>
      <c r="H37" s="91"/>
      <c r="I37" s="91"/>
      <c r="J37" s="313"/>
      <c r="M37" s="97"/>
      <c r="N37" s="97"/>
      <c r="O37" s="97"/>
      <c r="P37" s="97"/>
      <c r="Q37" s="97"/>
      <c r="R37" s="97"/>
      <c r="S37" s="97"/>
      <c r="T37" s="97"/>
      <c r="U37" s="97"/>
      <c r="V37" s="93"/>
      <c r="W37" s="93"/>
      <c r="X37" s="93"/>
    </row>
    <row r="38" spans="2:24">
      <c r="B38" s="94" t="s">
        <v>124</v>
      </c>
      <c r="C38" s="91" t="s">
        <v>37</v>
      </c>
      <c r="D38" s="91">
        <f>'Data input'!D20*0.92</f>
        <v>4.6000000000000006E-2</v>
      </c>
      <c r="E38" s="91">
        <f>'Data input'!E20*0.92</f>
        <v>0.1012</v>
      </c>
      <c r="F38" s="91">
        <f>'Data input'!F20*0.92</f>
        <v>1.84E-2</v>
      </c>
      <c r="G38" s="91">
        <f>'Data input'!G20*0.92</f>
        <v>0.1012</v>
      </c>
      <c r="H38" s="91">
        <f>'Data input'!H20*0.92</f>
        <v>0</v>
      </c>
      <c r="I38" s="91">
        <f>'Data input'!I20*0.92</f>
        <v>0.18400000000000002</v>
      </c>
      <c r="J38" s="313"/>
      <c r="M38" s="94" t="s">
        <v>125</v>
      </c>
      <c r="N38" s="91"/>
      <c r="O38" s="94" t="s">
        <v>126</v>
      </c>
      <c r="P38" s="91"/>
      <c r="Q38" s="91"/>
      <c r="R38" s="91"/>
      <c r="S38" s="91"/>
      <c r="T38" s="91"/>
      <c r="U38" s="91"/>
      <c r="V38" s="93" t="s">
        <v>127</v>
      </c>
      <c r="W38" s="93" t="s">
        <v>211</v>
      </c>
      <c r="X38" s="93" t="s">
        <v>523</v>
      </c>
    </row>
    <row r="39" spans="2:24">
      <c r="B39" s="91"/>
      <c r="C39" s="91" t="s">
        <v>39</v>
      </c>
      <c r="D39" s="91">
        <f>'Data input'!D21*0.92</f>
        <v>-4.6000000000000006E-2</v>
      </c>
      <c r="E39" s="91">
        <f>'Data input'!E21*0.92</f>
        <v>-4.6000000000000006E-2</v>
      </c>
      <c r="F39" s="91">
        <f>'Data input'!F21*0.92</f>
        <v>0</v>
      </c>
      <c r="G39" s="91">
        <f>'Data input'!G21*0.92</f>
        <v>0</v>
      </c>
      <c r="H39" s="91">
        <f>'Data input'!H21*0.92</f>
        <v>0</v>
      </c>
      <c r="I39" s="91">
        <f>'Data input'!I21*0.92</f>
        <v>4.6000000000000006E-2</v>
      </c>
      <c r="J39" s="313"/>
      <c r="M39" s="91"/>
      <c r="N39" s="97" t="s">
        <v>37</v>
      </c>
      <c r="O39" s="107">
        <f t="shared" ref="O39:T42" si="9">(O7/6.25)-O27-O33</f>
        <v>2.9466776277984962E-2</v>
      </c>
      <c r="P39" s="107">
        <f t="shared" si="9"/>
        <v>2.3888202080438514E-2</v>
      </c>
      <c r="Q39" s="107">
        <f t="shared" si="9"/>
        <v>1.8430587405281439E-2</v>
      </c>
      <c r="R39" s="107">
        <f t="shared" si="9"/>
        <v>1.6404862436932854E-2</v>
      </c>
      <c r="S39" s="107">
        <f t="shared" si="9"/>
        <v>2.0619275925447125E-2</v>
      </c>
      <c r="T39" s="107">
        <f t="shared" si="9"/>
        <v>1.1996527252245565E-2</v>
      </c>
      <c r="U39" s="91" t="s">
        <v>85</v>
      </c>
      <c r="V39" s="93"/>
      <c r="W39" s="93"/>
      <c r="X39" s="93"/>
    </row>
    <row r="40" spans="2:24">
      <c r="B40" s="91"/>
      <c r="C40" s="91" t="s">
        <v>40</v>
      </c>
      <c r="D40" s="91">
        <f>'Data input'!D22*0.92</f>
        <v>0</v>
      </c>
      <c r="E40" s="91">
        <f>'Data input'!E22*0.92</f>
        <v>-2.76E-2</v>
      </c>
      <c r="F40" s="91">
        <f>'Data input'!F22*0.92</f>
        <v>-1.84E-2</v>
      </c>
      <c r="G40" s="91">
        <f>'Data input'!G22*0.92</f>
        <v>-1.84E-2</v>
      </c>
      <c r="H40" s="91">
        <f>'Data input'!H22*0.92</f>
        <v>0</v>
      </c>
      <c r="I40" s="91">
        <f>'Data input'!I22*0.92</f>
        <v>4.6000000000000006E-2</v>
      </c>
      <c r="J40" s="313"/>
      <c r="M40" s="91"/>
      <c r="N40" s="97" t="s">
        <v>39</v>
      </c>
      <c r="O40" s="107">
        <f t="shared" si="9"/>
        <v>6.4940264500832736E-3</v>
      </c>
      <c r="P40" s="107">
        <f t="shared" si="9"/>
        <v>5.0907244910477056E-3</v>
      </c>
      <c r="Q40" s="107">
        <f t="shared" si="9"/>
        <v>3.6724953228903477E-3</v>
      </c>
      <c r="R40" s="107">
        <f t="shared" si="9"/>
        <v>4.276873947310693E-3</v>
      </c>
      <c r="S40" s="107">
        <f t="shared" si="9"/>
        <v>4.0007095637490499E-3</v>
      </c>
      <c r="T40" s="107">
        <f t="shared" si="9"/>
        <v>3.6898229331484419E-3</v>
      </c>
      <c r="U40" s="91" t="s">
        <v>85</v>
      </c>
      <c r="V40" s="93"/>
      <c r="W40" s="93"/>
      <c r="X40" s="93"/>
    </row>
    <row r="41" spans="2:24">
      <c r="B41" s="91"/>
      <c r="C41" s="91" t="s">
        <v>41</v>
      </c>
      <c r="D41" s="91">
        <f>'Data input'!D23*0.92</f>
        <v>0</v>
      </c>
      <c r="E41" s="91">
        <f>'Data input'!E23*0.92</f>
        <v>-1.84E-2</v>
      </c>
      <c r="F41" s="91">
        <f>'Data input'!F23*0.92</f>
        <v>0</v>
      </c>
      <c r="G41" s="91">
        <f>'Data input'!G23*0.92</f>
        <v>0</v>
      </c>
      <c r="H41" s="91">
        <f>'Data input'!H23*0.92</f>
        <v>0</v>
      </c>
      <c r="I41" s="91">
        <f>'Data input'!I23*0.92</f>
        <v>9.2000000000000012E-2</v>
      </c>
      <c r="J41" s="313"/>
      <c r="M41" s="91"/>
      <c r="N41" s="97" t="s">
        <v>40</v>
      </c>
      <c r="O41" s="107">
        <f t="shared" si="9"/>
        <v>1.90759231085935E-2</v>
      </c>
      <c r="P41" s="107">
        <f t="shared" si="9"/>
        <v>1.5095389389104425E-2</v>
      </c>
      <c r="Q41" s="107">
        <f t="shared" si="9"/>
        <v>1.232116510196078E-2</v>
      </c>
      <c r="R41" s="107">
        <f t="shared" si="9"/>
        <v>1.4062368433635307E-2</v>
      </c>
      <c r="S41" s="107">
        <f t="shared" si="9"/>
        <v>1.2069335737660572E-2</v>
      </c>
      <c r="T41" s="107">
        <f t="shared" si="9"/>
        <v>7.2512672135093218E-3</v>
      </c>
      <c r="U41" s="91" t="s">
        <v>85</v>
      </c>
      <c r="V41" s="93"/>
      <c r="W41" s="93"/>
      <c r="X41" s="93"/>
    </row>
    <row r="42" spans="2:24">
      <c r="B42" s="91"/>
      <c r="C42" s="91"/>
      <c r="D42" s="91"/>
      <c r="E42" s="91"/>
      <c r="F42" s="91"/>
      <c r="G42" s="91"/>
      <c r="H42" s="91"/>
      <c r="I42" s="91"/>
      <c r="J42" s="313"/>
      <c r="M42" s="91"/>
      <c r="N42" s="97" t="s">
        <v>41</v>
      </c>
      <c r="O42" s="107">
        <f t="shared" si="9"/>
        <v>1.0235720177109359E-2</v>
      </c>
      <c r="P42" s="107">
        <f t="shared" si="9"/>
        <v>7.4207835003067615E-3</v>
      </c>
      <c r="Q42" s="107">
        <f t="shared" si="9"/>
        <v>6.266657253703979E-3</v>
      </c>
      <c r="R42" s="107">
        <f t="shared" si="9"/>
        <v>6.4909538133016255E-3</v>
      </c>
      <c r="S42" s="107">
        <f t="shared" si="9"/>
        <v>7.2897972636354717E-3</v>
      </c>
      <c r="T42" s="107">
        <f t="shared" si="9"/>
        <v>7.6303315944220261E-3</v>
      </c>
      <c r="U42" s="91" t="s">
        <v>85</v>
      </c>
      <c r="V42" s="93"/>
      <c r="W42" s="93"/>
      <c r="X42" s="93"/>
    </row>
    <row r="43" spans="2:24">
      <c r="B43" s="94" t="s">
        <v>128</v>
      </c>
      <c r="C43" s="91" t="s">
        <v>37</v>
      </c>
      <c r="D43" s="108">
        <f>'Data input'!D14/O$25</f>
        <v>1</v>
      </c>
      <c r="E43" s="108">
        <f>'Data input'!E14/P$25</f>
        <v>1</v>
      </c>
      <c r="F43" s="108">
        <f>'Data input'!F14/Q$25</f>
        <v>0.9</v>
      </c>
      <c r="G43" s="108">
        <f>'Data input'!G14/R$25</f>
        <v>1</v>
      </c>
      <c r="H43" s="108">
        <f>'Data input'!H14/S$25</f>
        <v>1</v>
      </c>
      <c r="I43" s="108">
        <f>'Data input'!I14/T$25</f>
        <v>0.36363636363636365</v>
      </c>
      <c r="J43" s="313"/>
      <c r="M43" s="91"/>
      <c r="N43" s="91"/>
      <c r="O43" s="91"/>
      <c r="P43" s="91"/>
      <c r="Q43" s="91"/>
      <c r="R43" s="91"/>
      <c r="S43" s="91"/>
      <c r="T43" s="91"/>
      <c r="U43" s="91"/>
      <c r="V43" s="93"/>
      <c r="W43" s="93"/>
      <c r="X43" s="93"/>
    </row>
    <row r="44" spans="2:24">
      <c r="B44" s="91"/>
      <c r="C44" s="91" t="s">
        <v>39</v>
      </c>
      <c r="D44" s="108">
        <f>'Data input'!D15/O$25</f>
        <v>0.9285714285714286</v>
      </c>
      <c r="E44" s="108">
        <f>'Data input'!E15/P$25</f>
        <v>0.91666666666666663</v>
      </c>
      <c r="F44" s="108">
        <f>'Data input'!F15/Q$25</f>
        <v>0.9</v>
      </c>
      <c r="G44" s="108">
        <f>'Data input'!G15/R$25</f>
        <v>1</v>
      </c>
      <c r="H44" s="108">
        <f>'Data input'!H15/S$25</f>
        <v>1</v>
      </c>
      <c r="I44" s="108">
        <f>'Data input'!I15/T$25</f>
        <v>0.45454545454545453</v>
      </c>
      <c r="J44" s="313"/>
      <c r="M44" s="94" t="s">
        <v>129</v>
      </c>
      <c r="N44" s="91"/>
      <c r="O44" s="94" t="s">
        <v>130</v>
      </c>
      <c r="P44" s="91"/>
      <c r="Q44" s="91"/>
      <c r="R44" s="91"/>
      <c r="S44" s="91"/>
      <c r="T44" s="91"/>
      <c r="U44" s="91"/>
      <c r="V44" s="93" t="s">
        <v>131</v>
      </c>
      <c r="W44" s="93" t="s">
        <v>212</v>
      </c>
      <c r="X44" s="93" t="s">
        <v>523</v>
      </c>
    </row>
    <row r="45" spans="2:24">
      <c r="B45" s="91"/>
      <c r="C45" s="91" t="s">
        <v>40</v>
      </c>
      <c r="D45" s="108">
        <f>'Data input'!D16/O$25</f>
        <v>0.9285714285714286</v>
      </c>
      <c r="E45" s="108">
        <f>'Data input'!E16/P$25</f>
        <v>0.8666666666666667</v>
      </c>
      <c r="F45" s="108">
        <f>'Data input'!F16/Q$25</f>
        <v>0.86</v>
      </c>
      <c r="G45" s="108">
        <f>'Data input'!G16/R$25</f>
        <v>0.96</v>
      </c>
      <c r="H45" s="108">
        <f>'Data input'!H16/S$25</f>
        <v>1</v>
      </c>
      <c r="I45" s="108">
        <f>'Data input'!I16/T$25</f>
        <v>0.54545454545454541</v>
      </c>
      <c r="J45" s="313"/>
      <c r="M45" s="91"/>
      <c r="N45" s="97" t="s">
        <v>37</v>
      </c>
      <c r="O45" s="109">
        <f t="shared" ref="O45:T48" si="10">(D48*O33*91.25)*10^-6</f>
        <v>3.8077723607827644E-5</v>
      </c>
      <c r="P45" s="109">
        <f t="shared" si="10"/>
        <v>1.2923444490046915E-3</v>
      </c>
      <c r="Q45" s="109">
        <f t="shared" si="10"/>
        <v>2.4089926953192476E-4</v>
      </c>
      <c r="R45" s="109">
        <f t="shared" si="10"/>
        <v>3.2195313709432438E-4</v>
      </c>
      <c r="S45" s="109">
        <f t="shared" si="10"/>
        <v>0</v>
      </c>
      <c r="T45" s="109">
        <f t="shared" si="10"/>
        <v>0</v>
      </c>
      <c r="U45" s="91" t="s">
        <v>132</v>
      </c>
      <c r="V45" s="93"/>
      <c r="W45" s="93"/>
      <c r="X45" s="93"/>
    </row>
    <row r="46" spans="2:24">
      <c r="B46" s="91"/>
      <c r="C46" s="91" t="s">
        <v>41</v>
      </c>
      <c r="D46" s="108">
        <f>'Data input'!D17/O$25</f>
        <v>0.9285714285714286</v>
      </c>
      <c r="E46" s="108">
        <f>'Data input'!E17/P$25</f>
        <v>0.83333333333333337</v>
      </c>
      <c r="F46" s="108">
        <f>'Data input'!F17/Q$25</f>
        <v>0.86</v>
      </c>
      <c r="G46" s="108">
        <f>'Data input'!G17/R$25</f>
        <v>0.96</v>
      </c>
      <c r="H46" s="108">
        <f>'Data input'!H17/S$25</f>
        <v>1</v>
      </c>
      <c r="I46" s="108">
        <f>'Data input'!I17/T$25</f>
        <v>0.72727272727272729</v>
      </c>
      <c r="J46" s="313"/>
      <c r="M46" s="91"/>
      <c r="N46" s="97" t="s">
        <v>39</v>
      </c>
      <c r="O46" s="109">
        <f t="shared" si="10"/>
        <v>2.4583781459353927E-5</v>
      </c>
      <c r="P46" s="109">
        <f t="shared" si="10"/>
        <v>8.1517772284914365E-4</v>
      </c>
      <c r="Q46" s="109">
        <f t="shared" si="10"/>
        <v>1.6393751798945614E-4</v>
      </c>
      <c r="R46" s="109">
        <f t="shared" si="10"/>
        <v>1.8354450621006039E-4</v>
      </c>
      <c r="S46" s="109">
        <f t="shared" si="10"/>
        <v>0</v>
      </c>
      <c r="T46" s="109">
        <f t="shared" si="10"/>
        <v>0</v>
      </c>
      <c r="U46" s="91" t="s">
        <v>132</v>
      </c>
      <c r="V46" s="93"/>
      <c r="W46" s="93"/>
      <c r="X46" s="93"/>
    </row>
    <row r="47" spans="2:24">
      <c r="B47" s="91"/>
      <c r="C47" s="91"/>
      <c r="D47" s="91"/>
      <c r="E47" s="91"/>
      <c r="F47" s="91"/>
      <c r="G47" s="91"/>
      <c r="H47" s="91"/>
      <c r="I47" s="91"/>
      <c r="J47" s="313"/>
      <c r="M47" s="91"/>
      <c r="N47" s="97" t="s">
        <v>40</v>
      </c>
      <c r="O47" s="109">
        <f t="shared" si="10"/>
        <v>3.1968439555278131E-5</v>
      </c>
      <c r="P47" s="109">
        <f t="shared" si="10"/>
        <v>1.0181660317087856E-3</v>
      </c>
      <c r="Q47" s="109">
        <f t="shared" si="10"/>
        <v>2.0761324847163481E-4</v>
      </c>
      <c r="R47" s="109">
        <f t="shared" si="10"/>
        <v>2.346319855518729E-4</v>
      </c>
      <c r="S47" s="109">
        <f t="shared" si="10"/>
        <v>0</v>
      </c>
      <c r="T47" s="109">
        <f t="shared" si="10"/>
        <v>0</v>
      </c>
      <c r="U47" s="91" t="s">
        <v>132</v>
      </c>
      <c r="V47" s="93"/>
      <c r="W47" s="93"/>
      <c r="X47" s="93"/>
    </row>
    <row r="48" spans="2:24">
      <c r="B48" s="94" t="s">
        <v>99</v>
      </c>
      <c r="C48" s="91" t="s">
        <v>37</v>
      </c>
      <c r="D48" s="91">
        <f>'Data input'!D8</f>
        <v>50</v>
      </c>
      <c r="E48" s="91">
        <f>'Data input'!E8</f>
        <v>2000</v>
      </c>
      <c r="F48" s="91">
        <f>'Data input'!F8</f>
        <v>500</v>
      </c>
      <c r="G48" s="91">
        <f>'Data input'!G8</f>
        <v>500</v>
      </c>
      <c r="H48" s="91">
        <f>'Data input'!H8</f>
        <v>0</v>
      </c>
      <c r="I48" s="91">
        <f>'Data input'!I8</f>
        <v>0</v>
      </c>
      <c r="J48" s="313" t="str">
        <f>'Data input'!J8</f>
        <v>head</v>
      </c>
      <c r="M48" s="91"/>
      <c r="N48" s="97" t="s">
        <v>41</v>
      </c>
      <c r="O48" s="109">
        <f t="shared" si="10"/>
        <v>2.4851510883766162E-5</v>
      </c>
      <c r="P48" s="109">
        <f t="shared" si="10"/>
        <v>7.4782334716752238E-4</v>
      </c>
      <c r="Q48" s="109">
        <f t="shared" si="10"/>
        <v>1.5980501344090454E-4</v>
      </c>
      <c r="R48" s="109">
        <f t="shared" si="10"/>
        <v>2.186555574524001E-4</v>
      </c>
      <c r="S48" s="109">
        <f t="shared" si="10"/>
        <v>0</v>
      </c>
      <c r="T48" s="109">
        <f t="shared" si="10"/>
        <v>0</v>
      </c>
      <c r="U48" s="91" t="s">
        <v>132</v>
      </c>
      <c r="V48" s="93"/>
      <c r="W48" s="93"/>
      <c r="X48" s="93"/>
    </row>
    <row r="49" spans="2:24">
      <c r="B49" s="91"/>
      <c r="C49" s="91" t="s">
        <v>39</v>
      </c>
      <c r="D49" s="91">
        <f>'Data input'!D9</f>
        <v>50</v>
      </c>
      <c r="E49" s="91">
        <f>'Data input'!E9</f>
        <v>2000</v>
      </c>
      <c r="F49" s="91">
        <f>'Data input'!F9</f>
        <v>500</v>
      </c>
      <c r="G49" s="91">
        <f>'Data input'!G9</f>
        <v>500</v>
      </c>
      <c r="H49" s="91">
        <f>'Data input'!H9</f>
        <v>0</v>
      </c>
      <c r="I49" s="91">
        <f>'Data input'!I9</f>
        <v>0</v>
      </c>
      <c r="J49" s="313" t="str">
        <f>'Data input'!J9</f>
        <v>head</v>
      </c>
      <c r="M49" s="91"/>
      <c r="N49" s="91"/>
      <c r="O49" s="91"/>
      <c r="P49" s="91"/>
      <c r="Q49" s="91"/>
      <c r="R49" s="91"/>
      <c r="S49" s="91"/>
      <c r="T49" s="91"/>
      <c r="U49" s="91"/>
      <c r="V49" s="93"/>
      <c r="W49" s="93"/>
      <c r="X49" s="93"/>
    </row>
    <row r="50" spans="2:24">
      <c r="B50" s="91"/>
      <c r="C50" s="91" t="s">
        <v>40</v>
      </c>
      <c r="D50" s="91">
        <f>'Data input'!D10</f>
        <v>50</v>
      </c>
      <c r="E50" s="91">
        <f>'Data input'!E10</f>
        <v>2000</v>
      </c>
      <c r="F50" s="91">
        <f>'Data input'!F10</f>
        <v>500</v>
      </c>
      <c r="G50" s="91">
        <f>'Data input'!G10</f>
        <v>500</v>
      </c>
      <c r="H50" s="91">
        <f>'Data input'!H10</f>
        <v>0</v>
      </c>
      <c r="I50" s="91">
        <f>'Data input'!I10</f>
        <v>0</v>
      </c>
      <c r="J50" s="313" t="str">
        <f>'Data input'!J10</f>
        <v>head</v>
      </c>
      <c r="M50" s="94" t="s">
        <v>133</v>
      </c>
      <c r="N50" s="91"/>
      <c r="O50" s="94" t="s">
        <v>134</v>
      </c>
      <c r="P50" s="91"/>
      <c r="Q50" s="91"/>
      <c r="R50" s="91"/>
      <c r="S50" s="91"/>
      <c r="T50" s="91"/>
      <c r="U50" s="91"/>
      <c r="V50" s="93" t="s">
        <v>135</v>
      </c>
      <c r="W50" s="93" t="s">
        <v>213</v>
      </c>
      <c r="X50" s="93" t="s">
        <v>523</v>
      </c>
    </row>
    <row r="51" spans="2:24">
      <c r="B51" s="91"/>
      <c r="C51" s="91" t="s">
        <v>41</v>
      </c>
      <c r="D51" s="91">
        <f>'Data input'!D11</f>
        <v>50</v>
      </c>
      <c r="E51" s="91">
        <f>'Data input'!E11</f>
        <v>2000</v>
      </c>
      <c r="F51" s="91">
        <f>'Data input'!F11</f>
        <v>500</v>
      </c>
      <c r="G51" s="91">
        <f>'Data input'!G11</f>
        <v>500</v>
      </c>
      <c r="H51" s="91">
        <f>'Data input'!H11</f>
        <v>0</v>
      </c>
      <c r="I51" s="91">
        <f>'Data input'!I11</f>
        <v>0</v>
      </c>
      <c r="J51" s="313" t="str">
        <f>'Data input'!J11</f>
        <v>head</v>
      </c>
      <c r="M51" s="91"/>
      <c r="N51" s="97" t="s">
        <v>37</v>
      </c>
      <c r="O51" s="109">
        <f t="shared" ref="O51:T54" si="11">(D48*O39*91.25)*10^-6</f>
        <v>1.3444216676830638E-4</v>
      </c>
      <c r="P51" s="109">
        <f t="shared" si="11"/>
        <v>4.3595968796800288E-3</v>
      </c>
      <c r="Q51" s="109">
        <f t="shared" si="11"/>
        <v>8.4089555036596572E-4</v>
      </c>
      <c r="R51" s="109">
        <f t="shared" si="11"/>
        <v>7.4847184868506126E-4</v>
      </c>
      <c r="S51" s="109">
        <f t="shared" si="11"/>
        <v>0</v>
      </c>
      <c r="T51" s="109">
        <f t="shared" si="11"/>
        <v>0</v>
      </c>
      <c r="U51" s="91" t="s">
        <v>132</v>
      </c>
      <c r="V51" s="93"/>
      <c r="W51" s="93"/>
      <c r="X51" s="93"/>
    </row>
    <row r="52" spans="2:24">
      <c r="B52" s="91"/>
      <c r="C52" s="91"/>
      <c r="D52" s="91"/>
      <c r="E52" s="91"/>
      <c r="F52" s="91"/>
      <c r="G52" s="91"/>
      <c r="H52" s="91"/>
      <c r="I52" s="91"/>
      <c r="J52" s="313"/>
      <c r="M52" s="91"/>
      <c r="N52" s="97" t="s">
        <v>39</v>
      </c>
      <c r="O52" s="109">
        <f t="shared" si="11"/>
        <v>2.9628995678504934E-5</v>
      </c>
      <c r="P52" s="109">
        <f t="shared" si="11"/>
        <v>9.2905721961620614E-4</v>
      </c>
      <c r="Q52" s="109">
        <f t="shared" si="11"/>
        <v>1.6755759910687211E-4</v>
      </c>
      <c r="R52" s="109">
        <f t="shared" si="11"/>
        <v>1.9513237384605035E-4</v>
      </c>
      <c r="S52" s="109">
        <f t="shared" si="11"/>
        <v>0</v>
      </c>
      <c r="T52" s="109">
        <f t="shared" si="11"/>
        <v>0</v>
      </c>
      <c r="U52" s="91" t="s">
        <v>132</v>
      </c>
      <c r="V52" s="93"/>
      <c r="W52" s="93"/>
      <c r="X52" s="93"/>
    </row>
    <row r="53" spans="2:24">
      <c r="B53" s="110" t="s">
        <v>136</v>
      </c>
      <c r="C53" s="111">
        <f>44/28</f>
        <v>1.5714285714285714</v>
      </c>
      <c r="D53" s="112"/>
      <c r="E53" s="112"/>
      <c r="F53" s="112"/>
      <c r="G53" s="112"/>
      <c r="H53" s="112"/>
      <c r="I53" s="112"/>
      <c r="J53" s="316"/>
      <c r="M53" s="91"/>
      <c r="N53" s="97" t="s">
        <v>40</v>
      </c>
      <c r="O53" s="109">
        <f t="shared" si="11"/>
        <v>8.7033899182957833E-5</v>
      </c>
      <c r="P53" s="109">
        <f t="shared" si="11"/>
        <v>2.7549085635115572E-3</v>
      </c>
      <c r="Q53" s="109">
        <f t="shared" si="11"/>
        <v>5.6215315777696057E-4</v>
      </c>
      <c r="R53" s="109">
        <f t="shared" si="11"/>
        <v>6.4159555978461082E-4</v>
      </c>
      <c r="S53" s="109">
        <f t="shared" si="11"/>
        <v>0</v>
      </c>
      <c r="T53" s="109">
        <f t="shared" si="11"/>
        <v>0</v>
      </c>
      <c r="U53" s="91" t="s">
        <v>132</v>
      </c>
      <c r="V53" s="93"/>
      <c r="W53" s="93"/>
      <c r="X53" s="93"/>
    </row>
    <row r="54" spans="2:24">
      <c r="M54" s="91"/>
      <c r="N54" s="97" t="s">
        <v>41</v>
      </c>
      <c r="O54" s="109">
        <f t="shared" si="11"/>
        <v>4.6700473308061455E-5</v>
      </c>
      <c r="P54" s="109">
        <f t="shared" si="11"/>
        <v>1.3542929888059839E-3</v>
      </c>
      <c r="Q54" s="109">
        <f t="shared" si="11"/>
        <v>2.8591623720024403E-4</v>
      </c>
      <c r="R54" s="109">
        <f t="shared" si="11"/>
        <v>2.9614976773188664E-4</v>
      </c>
      <c r="S54" s="109">
        <f t="shared" si="11"/>
        <v>0</v>
      </c>
      <c r="T54" s="109">
        <f t="shared" si="11"/>
        <v>0</v>
      </c>
      <c r="U54" s="91" t="s">
        <v>132</v>
      </c>
      <c r="V54" s="93"/>
      <c r="W54" s="93"/>
      <c r="X54" s="93"/>
    </row>
    <row r="55" spans="2:24">
      <c r="M55" s="91"/>
      <c r="N55" s="91"/>
      <c r="O55" s="91"/>
      <c r="P55" s="91"/>
      <c r="Q55" s="91"/>
      <c r="R55" s="91"/>
      <c r="S55" s="91"/>
      <c r="T55" s="91"/>
      <c r="U55" s="91"/>
      <c r="V55" s="93"/>
      <c r="W55" s="93"/>
      <c r="X55" s="93"/>
    </row>
    <row r="56" spans="2:24">
      <c r="M56" s="94" t="s">
        <v>137</v>
      </c>
      <c r="N56" s="91"/>
      <c r="O56" s="94" t="s">
        <v>138</v>
      </c>
      <c r="P56" s="91"/>
      <c r="Q56" s="91"/>
      <c r="R56" s="91"/>
      <c r="S56" s="91"/>
      <c r="T56" s="91"/>
      <c r="U56" s="91"/>
      <c r="V56" s="93"/>
      <c r="W56" s="93"/>
      <c r="X56" s="93"/>
    </row>
    <row r="57" spans="2:24">
      <c r="M57" s="91"/>
      <c r="N57" s="97" t="s">
        <v>37</v>
      </c>
      <c r="O57" s="107">
        <f t="shared" ref="O57:T60" si="12">O45+O51</f>
        <v>1.7251989037613403E-4</v>
      </c>
      <c r="P57" s="107">
        <f t="shared" si="12"/>
        <v>5.6519413286847207E-3</v>
      </c>
      <c r="Q57" s="107">
        <f t="shared" si="12"/>
        <v>1.0817948198978905E-3</v>
      </c>
      <c r="R57" s="107">
        <f t="shared" si="12"/>
        <v>1.0704249857793856E-3</v>
      </c>
      <c r="S57" s="107">
        <f t="shared" si="12"/>
        <v>0</v>
      </c>
      <c r="T57" s="107">
        <f t="shared" si="12"/>
        <v>0</v>
      </c>
      <c r="U57" s="91" t="s">
        <v>132</v>
      </c>
      <c r="V57" s="93"/>
      <c r="W57" s="93"/>
      <c r="X57" s="93"/>
    </row>
    <row r="58" spans="2:24">
      <c r="M58" s="91"/>
      <c r="N58" s="97" t="s">
        <v>39</v>
      </c>
      <c r="O58" s="107">
        <f t="shared" si="12"/>
        <v>5.4212777137858862E-5</v>
      </c>
      <c r="P58" s="107">
        <f t="shared" si="12"/>
        <v>1.7442349424653498E-3</v>
      </c>
      <c r="Q58" s="107">
        <f t="shared" si="12"/>
        <v>3.3149511709632825E-4</v>
      </c>
      <c r="R58" s="107">
        <f t="shared" si="12"/>
        <v>3.7867688005611077E-4</v>
      </c>
      <c r="S58" s="107">
        <f t="shared" si="12"/>
        <v>0</v>
      </c>
      <c r="T58" s="107">
        <f t="shared" si="12"/>
        <v>0</v>
      </c>
      <c r="U58" s="91" t="s">
        <v>132</v>
      </c>
      <c r="V58" s="93"/>
      <c r="W58" s="93"/>
      <c r="X58" s="93"/>
    </row>
    <row r="59" spans="2:24">
      <c r="M59" s="91"/>
      <c r="N59" s="97" t="s">
        <v>40</v>
      </c>
      <c r="O59" s="107">
        <f t="shared" si="12"/>
        <v>1.1900233873823597E-4</v>
      </c>
      <c r="P59" s="107">
        <f t="shared" si="12"/>
        <v>3.773074595220343E-3</v>
      </c>
      <c r="Q59" s="107">
        <f t="shared" si="12"/>
        <v>7.6976640624859538E-4</v>
      </c>
      <c r="R59" s="107">
        <f t="shared" si="12"/>
        <v>8.7622754533648369E-4</v>
      </c>
      <c r="S59" s="107">
        <f t="shared" si="12"/>
        <v>0</v>
      </c>
      <c r="T59" s="107">
        <f t="shared" si="12"/>
        <v>0</v>
      </c>
      <c r="U59" s="91" t="s">
        <v>132</v>
      </c>
      <c r="V59" s="93"/>
      <c r="W59" s="93"/>
      <c r="X59" s="93"/>
    </row>
    <row r="60" spans="2:24">
      <c r="M60" s="475"/>
      <c r="N60" s="476" t="s">
        <v>41</v>
      </c>
      <c r="O60" s="477">
        <f t="shared" si="12"/>
        <v>7.1551984191827611E-5</v>
      </c>
      <c r="P60" s="477">
        <f t="shared" si="12"/>
        <v>2.1021163359735062E-3</v>
      </c>
      <c r="Q60" s="477">
        <f t="shared" si="12"/>
        <v>4.4572125064114857E-4</v>
      </c>
      <c r="R60" s="477">
        <f t="shared" si="12"/>
        <v>5.1480532518428674E-4</v>
      </c>
      <c r="S60" s="477">
        <f t="shared" si="12"/>
        <v>0</v>
      </c>
      <c r="T60" s="477">
        <f t="shared" si="12"/>
        <v>0</v>
      </c>
      <c r="U60" s="475" t="s">
        <v>132</v>
      </c>
      <c r="V60" s="478"/>
      <c r="W60" s="478"/>
      <c r="X60" s="478"/>
    </row>
    <row r="62" spans="2:24">
      <c r="M62" s="67"/>
      <c r="N62" s="67"/>
      <c r="O62" s="67"/>
      <c r="P62" s="67"/>
      <c r="Q62" s="67"/>
      <c r="R62" s="67"/>
      <c r="S62" s="67"/>
    </row>
    <row r="69" spans="4:22">
      <c r="O69" s="67"/>
      <c r="P69" s="67"/>
      <c r="Q69" s="67"/>
      <c r="R69" s="67"/>
      <c r="S69" s="67"/>
      <c r="T69" s="67"/>
      <c r="U69" s="67"/>
      <c r="V69" s="67"/>
    </row>
    <row r="76" spans="4:22">
      <c r="D76" s="501"/>
      <c r="E76" s="501"/>
      <c r="F76" s="501"/>
      <c r="G76" s="501"/>
      <c r="H76" s="501"/>
    </row>
    <row r="77" spans="4:22">
      <c r="D77" s="501"/>
      <c r="E77" s="501"/>
      <c r="F77" s="501"/>
      <c r="G77" s="501"/>
      <c r="H77" s="501"/>
      <c r="I77" s="501"/>
    </row>
    <row r="80" spans="4:22">
      <c r="D80" s="113"/>
      <c r="E80" s="113"/>
      <c r="F80" s="113"/>
      <c r="G80" s="113"/>
      <c r="H80" s="113"/>
      <c r="I80" s="113"/>
    </row>
    <row r="86" spans="3:9">
      <c r="C86" s="501"/>
      <c r="D86" s="501"/>
      <c r="E86" s="501"/>
      <c r="F86" s="501"/>
      <c r="G86" s="501"/>
      <c r="H86" s="501"/>
      <c r="I86" s="501"/>
    </row>
    <row r="87" spans="3:9">
      <c r="D87" s="46"/>
      <c r="E87" s="46"/>
      <c r="F87" s="46"/>
      <c r="G87" s="46"/>
      <c r="H87" s="46"/>
      <c r="I87" s="46"/>
    </row>
    <row r="88" spans="3:9">
      <c r="D88" s="46"/>
      <c r="E88" s="46"/>
      <c r="F88" s="46"/>
      <c r="G88" s="46"/>
      <c r="H88" s="46"/>
      <c r="I88" s="46"/>
    </row>
    <row r="142" spans="3:10">
      <c r="J142" s="317"/>
    </row>
    <row r="143" spans="3:10">
      <c r="C143" s="115"/>
      <c r="D143" s="114"/>
      <c r="E143" s="114"/>
      <c r="F143" s="114"/>
      <c r="G143" s="114"/>
      <c r="H143" s="114"/>
      <c r="I143" s="114"/>
      <c r="J143" s="317"/>
    </row>
    <row r="144" spans="3:10">
      <c r="C144" s="115"/>
      <c r="D144" s="114"/>
      <c r="E144" s="114"/>
      <c r="F144" s="114"/>
      <c r="G144" s="114"/>
      <c r="H144" s="114"/>
      <c r="I144" s="114"/>
      <c r="J144" s="317"/>
    </row>
    <row r="145" spans="3:10">
      <c r="C145" s="115"/>
      <c r="D145" s="114"/>
      <c r="E145" s="114"/>
      <c r="F145" s="114"/>
      <c r="G145" s="114"/>
      <c r="H145" s="114"/>
      <c r="I145" s="114"/>
      <c r="J145" s="317"/>
    </row>
    <row r="146" spans="3:10">
      <c r="D146" s="114"/>
      <c r="E146" s="114"/>
      <c r="F146" s="114"/>
      <c r="G146" s="114"/>
      <c r="H146" s="114"/>
      <c r="I146" s="114"/>
      <c r="J146" s="318"/>
    </row>
    <row r="147" spans="3:10">
      <c r="D147" s="116"/>
      <c r="E147" s="116"/>
      <c r="F147" s="116"/>
      <c r="G147" s="116"/>
      <c r="H147" s="116"/>
      <c r="I147" s="116"/>
    </row>
  </sheetData>
  <sheetProtection sheet="1" objects="1" scenarios="1"/>
  <mergeCells count="3">
    <mergeCell ref="D76:H76"/>
    <mergeCell ref="D77:I77"/>
    <mergeCell ref="C86:I86"/>
  </mergeCells>
  <pageMargins left="0.75000000000000011" right="0.75000000000000011" top="1" bottom="1" header="0.5" footer="0.5"/>
  <pageSetup paperSize="9" fitToWidth="0" fitToHeight="0" orientation="portrait" horizontalDpi="4294967292" verticalDpi="4294967292"/>
  <ignoredErrors>
    <ignoredError sqref="O7:T10 O33:T36" emptyCellReference="1"/>
  </ignoredErrors>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C7B5-98FE-43DD-86C0-B96D64E3F922}">
  <dimension ref="A1:N254"/>
  <sheetViews>
    <sheetView zoomScale="80" zoomScaleNormal="80" workbookViewId="0"/>
  </sheetViews>
  <sheetFormatPr defaultColWidth="8.86328125" defaultRowHeight="15.4"/>
  <cols>
    <col min="1" max="1" width="3.1328125" style="502" customWidth="1"/>
    <col min="2" max="2" width="53.265625" style="502" customWidth="1"/>
    <col min="3" max="3" width="9.59765625" style="502" bestFit="1" customWidth="1"/>
    <col min="4" max="4" width="20.73046875" style="502" customWidth="1"/>
    <col min="5" max="6" width="10.73046875" style="502" bestFit="1" customWidth="1"/>
    <col min="7" max="7" width="12.265625" style="502" bestFit="1" customWidth="1"/>
    <col min="8" max="8" width="10.73046875" style="502" bestFit="1" customWidth="1"/>
    <col min="9" max="9" width="19.1328125" style="502" bestFit="1" customWidth="1"/>
    <col min="10" max="10" width="10.73046875" style="502" bestFit="1" customWidth="1"/>
    <col min="11" max="11" width="21.3984375" style="502" bestFit="1" customWidth="1"/>
    <col min="12" max="12" width="20.73046875" style="504" bestFit="1" customWidth="1"/>
    <col min="13" max="13" width="19.73046875" style="503" bestFit="1" customWidth="1"/>
    <col min="14" max="14" width="11.3984375" style="503" bestFit="1" customWidth="1"/>
    <col min="15" max="15" width="12.73046875" style="502" bestFit="1" customWidth="1"/>
    <col min="16" max="16384" width="8.86328125" style="502"/>
  </cols>
  <sheetData>
    <row r="1" spans="1:14" ht="30" customHeight="1">
      <c r="A1" s="588" t="s">
        <v>141</v>
      </c>
      <c r="H1" s="503"/>
    </row>
    <row r="2" spans="1:14">
      <c r="B2" s="587"/>
      <c r="H2" s="503"/>
    </row>
    <row r="3" spans="1:14" ht="21.75" customHeight="1">
      <c r="B3" s="586" t="s">
        <v>714</v>
      </c>
      <c r="C3" s="515"/>
      <c r="D3" s="515"/>
      <c r="E3" s="515"/>
      <c r="F3" s="515"/>
      <c r="G3" s="515"/>
      <c r="H3" s="516"/>
      <c r="I3" s="515"/>
      <c r="J3" s="515"/>
      <c r="K3" s="515"/>
      <c r="L3" s="507" t="s">
        <v>187</v>
      </c>
      <c r="M3" s="506" t="s">
        <v>570</v>
      </c>
      <c r="N3" s="507" t="s">
        <v>522</v>
      </c>
    </row>
    <row r="4" spans="1:14" ht="30.4">
      <c r="B4" s="578" t="s">
        <v>156</v>
      </c>
      <c r="C4" s="585"/>
      <c r="D4" s="579" t="s">
        <v>707</v>
      </c>
      <c r="E4" s="578" t="s">
        <v>713</v>
      </c>
      <c r="F4" s="585"/>
      <c r="G4" s="585"/>
      <c r="H4" s="585"/>
      <c r="I4" s="584"/>
      <c r="J4" s="583"/>
      <c r="K4" s="582" t="s">
        <v>712</v>
      </c>
      <c r="L4" s="513" t="s">
        <v>155</v>
      </c>
      <c r="M4" s="513" t="s">
        <v>711</v>
      </c>
      <c r="N4" s="513" t="s">
        <v>526</v>
      </c>
    </row>
    <row r="5" spans="1:14">
      <c r="B5" s="550" t="s">
        <v>157</v>
      </c>
      <c r="C5" s="515"/>
      <c r="D5" s="575">
        <v>4.0000000000000001E-3</v>
      </c>
      <c r="E5" s="550" t="s">
        <v>710</v>
      </c>
      <c r="F5" s="515"/>
      <c r="G5" s="515"/>
      <c r="H5" s="515"/>
      <c r="I5" s="516"/>
      <c r="J5" s="581"/>
      <c r="K5" s="580">
        <f>GWP!C15</f>
        <v>1.5714285714285714</v>
      </c>
      <c r="L5" s="513"/>
      <c r="M5" s="512"/>
      <c r="N5" s="512"/>
    </row>
    <row r="6" spans="1:14">
      <c r="B6" s="550" t="s">
        <v>158</v>
      </c>
      <c r="C6" s="515"/>
      <c r="D6" s="575">
        <v>8.5000000000000006E-3</v>
      </c>
      <c r="E6" s="550" t="s">
        <v>709</v>
      </c>
      <c r="F6" s="515"/>
      <c r="G6" s="515"/>
      <c r="H6" s="515"/>
      <c r="I6" s="516"/>
      <c r="J6" s="531"/>
      <c r="K6" s="573">
        <f>GWP!C6</f>
        <v>298</v>
      </c>
      <c r="L6" s="513"/>
      <c r="M6" s="512"/>
      <c r="N6" s="512"/>
    </row>
    <row r="7" spans="1:14">
      <c r="B7" s="550" t="s">
        <v>159</v>
      </c>
      <c r="C7" s="515"/>
      <c r="D7" s="575">
        <v>2E-3</v>
      </c>
      <c r="E7" s="550"/>
      <c r="F7" s="515"/>
      <c r="G7" s="515"/>
      <c r="H7" s="515"/>
      <c r="I7" s="516"/>
      <c r="J7" s="531"/>
      <c r="K7" s="573"/>
      <c r="L7" s="513"/>
      <c r="M7" s="512"/>
      <c r="N7" s="512"/>
    </row>
    <row r="8" spans="1:14">
      <c r="B8" s="550" t="s">
        <v>160</v>
      </c>
      <c r="C8" s="509"/>
      <c r="D8" s="575">
        <v>2E-3</v>
      </c>
      <c r="E8" s="548"/>
      <c r="F8" s="509"/>
      <c r="G8" s="509"/>
      <c r="H8" s="509"/>
      <c r="I8" s="562"/>
      <c r="J8" s="529"/>
      <c r="K8" s="571"/>
      <c r="L8" s="513"/>
      <c r="M8" s="512"/>
      <c r="N8" s="512"/>
    </row>
    <row r="9" spans="1:14" ht="30.4">
      <c r="B9" s="578" t="s">
        <v>708</v>
      </c>
      <c r="C9" s="545"/>
      <c r="D9" s="579" t="s">
        <v>707</v>
      </c>
      <c r="E9" s="578" t="s">
        <v>706</v>
      </c>
      <c r="F9" s="545"/>
      <c r="G9" s="545"/>
      <c r="H9" s="545"/>
      <c r="I9" s="577"/>
      <c r="J9" s="531"/>
      <c r="K9" s="576" t="s">
        <v>705</v>
      </c>
      <c r="L9" s="513"/>
      <c r="M9" s="512"/>
      <c r="N9" s="512"/>
    </row>
    <row r="10" spans="1:14">
      <c r="B10" s="550" t="s">
        <v>704</v>
      </c>
      <c r="C10" s="515"/>
      <c r="D10" s="575">
        <v>8.9999999999999993E-3</v>
      </c>
      <c r="E10" s="515" t="s">
        <v>703</v>
      </c>
      <c r="F10" s="515"/>
      <c r="G10" s="515"/>
      <c r="H10" s="515"/>
      <c r="I10" s="516"/>
      <c r="J10" s="558"/>
      <c r="K10" s="573">
        <v>0.1</v>
      </c>
      <c r="L10" s="513"/>
      <c r="M10" s="512"/>
      <c r="N10" s="512"/>
    </row>
    <row r="11" spans="1:14">
      <c r="B11" s="550" t="s">
        <v>702</v>
      </c>
      <c r="C11" s="515"/>
      <c r="D11" s="574">
        <v>4.0000000000000001E-3</v>
      </c>
      <c r="E11" s="515" t="s">
        <v>701</v>
      </c>
      <c r="F11" s="515"/>
      <c r="G11" s="515"/>
      <c r="H11" s="515"/>
      <c r="I11" s="516"/>
      <c r="J11" s="531"/>
      <c r="K11" s="573">
        <v>0.2</v>
      </c>
      <c r="L11" s="513"/>
      <c r="M11" s="513" t="s">
        <v>551</v>
      </c>
      <c r="N11" s="513" t="s">
        <v>546</v>
      </c>
    </row>
    <row r="12" spans="1:14">
      <c r="B12" s="548" t="s">
        <v>700</v>
      </c>
      <c r="C12" s="509"/>
      <c r="D12" s="572">
        <v>7.4999999999999997E-3</v>
      </c>
      <c r="E12" s="548"/>
      <c r="F12" s="509"/>
      <c r="G12" s="509"/>
      <c r="H12" s="509"/>
      <c r="I12" s="562"/>
      <c r="J12" s="529"/>
      <c r="K12" s="571"/>
      <c r="L12" s="513"/>
      <c r="M12" s="512"/>
      <c r="N12" s="512"/>
    </row>
    <row r="13" spans="1:14">
      <c r="B13" s="515"/>
      <c r="C13" s="515"/>
      <c r="D13" s="515"/>
      <c r="E13" s="515"/>
      <c r="F13" s="515"/>
      <c r="G13" s="515"/>
      <c r="H13" s="516"/>
      <c r="I13" s="515"/>
      <c r="J13" s="515"/>
      <c r="K13" s="515"/>
      <c r="L13" s="513"/>
      <c r="M13" s="512"/>
      <c r="N13" s="512"/>
    </row>
    <row r="14" spans="1:14" ht="15" customHeight="1">
      <c r="B14" s="570" t="s">
        <v>56</v>
      </c>
      <c r="C14" s="569" t="s">
        <v>57</v>
      </c>
      <c r="D14" s="569" t="s">
        <v>533</v>
      </c>
      <c r="E14" s="569"/>
      <c r="F14" s="569" t="s">
        <v>198</v>
      </c>
      <c r="G14" s="569"/>
      <c r="H14" s="569"/>
      <c r="I14" s="569"/>
      <c r="J14" s="569"/>
      <c r="K14" s="568">
        <f>'Enteric fermentation'!K3</f>
        <v>0</v>
      </c>
      <c r="L14" s="513"/>
      <c r="M14" s="512"/>
      <c r="N14" s="513"/>
    </row>
    <row r="15" spans="1:14">
      <c r="B15" s="551" t="s">
        <v>142</v>
      </c>
      <c r="C15" s="515" t="s">
        <v>37</v>
      </c>
      <c r="D15" s="516">
        <f>'Data input'!D67*$C$31</f>
        <v>0</v>
      </c>
      <c r="E15" s="515"/>
      <c r="F15" s="516">
        <f>'Data input'!F67*$C$31</f>
        <v>0</v>
      </c>
      <c r="G15" s="515"/>
      <c r="H15" s="515"/>
      <c r="I15" s="563"/>
      <c r="J15" s="515"/>
      <c r="K15" s="531" t="s">
        <v>54</v>
      </c>
      <c r="L15" s="513"/>
      <c r="M15" s="512"/>
      <c r="N15" s="512"/>
    </row>
    <row r="16" spans="1:14">
      <c r="B16" s="550"/>
      <c r="C16" s="515" t="s">
        <v>39</v>
      </c>
      <c r="D16" s="516">
        <f>'Data input'!D68*$C$31</f>
        <v>0</v>
      </c>
      <c r="E16" s="515"/>
      <c r="F16" s="516">
        <f>'Data input'!F68*$C$31</f>
        <v>0</v>
      </c>
      <c r="G16" s="515"/>
      <c r="H16" s="515"/>
      <c r="I16" s="563"/>
      <c r="J16" s="515"/>
      <c r="K16" s="531" t="s">
        <v>54</v>
      </c>
      <c r="L16" s="513"/>
      <c r="M16" s="512"/>
      <c r="N16" s="512"/>
    </row>
    <row r="17" spans="2:14">
      <c r="B17" s="550"/>
      <c r="C17" s="515" t="s">
        <v>40</v>
      </c>
      <c r="D17" s="516">
        <f>'Data input'!D69*$C$31</f>
        <v>0</v>
      </c>
      <c r="E17" s="515"/>
      <c r="F17" s="516">
        <f>'Data input'!F69*$C$31</f>
        <v>0</v>
      </c>
      <c r="G17" s="515"/>
      <c r="H17" s="515"/>
      <c r="I17" s="563"/>
      <c r="J17" s="515"/>
      <c r="K17" s="531" t="s">
        <v>54</v>
      </c>
      <c r="L17" s="513"/>
      <c r="M17" s="512"/>
      <c r="N17" s="512"/>
    </row>
    <row r="18" spans="2:14">
      <c r="B18" s="548"/>
      <c r="C18" s="509" t="s">
        <v>41</v>
      </c>
      <c r="D18" s="516">
        <f>'Data input'!D70*$C$31</f>
        <v>0</v>
      </c>
      <c r="E18" s="509"/>
      <c r="F18" s="516">
        <f>'Data input'!F70*$C$31</f>
        <v>0</v>
      </c>
      <c r="G18" s="509"/>
      <c r="H18" s="509"/>
      <c r="I18" s="564"/>
      <c r="J18" s="509"/>
      <c r="K18" s="529" t="s">
        <v>54</v>
      </c>
      <c r="L18" s="513"/>
      <c r="M18" s="512"/>
      <c r="N18" s="512"/>
    </row>
    <row r="19" spans="2:14">
      <c r="B19" s="551" t="s">
        <v>143</v>
      </c>
      <c r="C19" s="515" t="s">
        <v>37</v>
      </c>
      <c r="D19" s="516">
        <f>'Data input'!D74*$C$32</f>
        <v>5000</v>
      </c>
      <c r="E19" s="515"/>
      <c r="F19" s="516">
        <f>'Data input'!F74*$C$32</f>
        <v>0</v>
      </c>
      <c r="G19" s="515"/>
      <c r="H19" s="515"/>
      <c r="I19" s="563"/>
      <c r="J19" s="515"/>
      <c r="K19" s="531" t="s">
        <v>54</v>
      </c>
      <c r="L19" s="513"/>
      <c r="M19" s="512"/>
      <c r="N19" s="512"/>
    </row>
    <row r="20" spans="2:14">
      <c r="B20" s="550"/>
      <c r="C20" s="515" t="s">
        <v>39</v>
      </c>
      <c r="D20" s="516">
        <f>'Data input'!D75*$C$32</f>
        <v>0</v>
      </c>
      <c r="E20" s="515"/>
      <c r="F20" s="516">
        <f>'Data input'!F75*$C$32</f>
        <v>0</v>
      </c>
      <c r="G20" s="515"/>
      <c r="H20" s="515"/>
      <c r="I20" s="563"/>
      <c r="J20" s="515"/>
      <c r="K20" s="531" t="s">
        <v>54</v>
      </c>
      <c r="L20" s="513"/>
      <c r="M20" s="512"/>
      <c r="N20" s="512"/>
    </row>
    <row r="21" spans="2:14">
      <c r="B21" s="550"/>
      <c r="C21" s="515" t="s">
        <v>40</v>
      </c>
      <c r="D21" s="516">
        <f>'Data input'!D76*$C$32</f>
        <v>0</v>
      </c>
      <c r="E21" s="515"/>
      <c r="F21" s="516">
        <f>'Data input'!F76*$C$32</f>
        <v>0</v>
      </c>
      <c r="G21" s="515"/>
      <c r="H21" s="515"/>
      <c r="I21" s="563"/>
      <c r="J21" s="515"/>
      <c r="K21" s="531" t="s">
        <v>54</v>
      </c>
      <c r="L21" s="513"/>
      <c r="M21" s="512"/>
      <c r="N21" s="512"/>
    </row>
    <row r="22" spans="2:14">
      <c r="B22" s="548"/>
      <c r="C22" s="509" t="s">
        <v>41</v>
      </c>
      <c r="D22" s="516">
        <f>'Data input'!D77*$C$32</f>
        <v>0</v>
      </c>
      <c r="E22" s="509"/>
      <c r="F22" s="516">
        <f>'Data input'!F77*$C$32</f>
        <v>0</v>
      </c>
      <c r="G22" s="509"/>
      <c r="H22" s="509"/>
      <c r="I22" s="564"/>
      <c r="J22" s="509"/>
      <c r="K22" s="529" t="s">
        <v>54</v>
      </c>
      <c r="L22" s="513"/>
      <c r="M22" s="512"/>
      <c r="N22" s="512"/>
    </row>
    <row r="23" spans="2:14">
      <c r="B23" s="551" t="s">
        <v>534</v>
      </c>
      <c r="C23" s="515" t="s">
        <v>37</v>
      </c>
      <c r="D23" s="516">
        <f>'Data input'!D80*$C$31</f>
        <v>0</v>
      </c>
      <c r="E23" s="515"/>
      <c r="F23" s="516">
        <f>'Data input'!F80*$C$31</f>
        <v>0</v>
      </c>
      <c r="G23" s="515"/>
      <c r="H23" s="515"/>
      <c r="I23" s="563"/>
      <c r="J23" s="515"/>
      <c r="K23" s="531" t="s">
        <v>54</v>
      </c>
      <c r="L23" s="513"/>
      <c r="M23" s="512"/>
      <c r="N23" s="512"/>
    </row>
    <row r="24" spans="2:14">
      <c r="B24" s="550"/>
      <c r="C24" s="515" t="s">
        <v>39</v>
      </c>
      <c r="D24" s="516">
        <f>'Data input'!D81*$C$31</f>
        <v>0</v>
      </c>
      <c r="E24" s="515"/>
      <c r="F24" s="516">
        <f>'Data input'!F81*$C$31</f>
        <v>0</v>
      </c>
      <c r="G24" s="515"/>
      <c r="H24" s="515"/>
      <c r="I24" s="563"/>
      <c r="J24" s="515"/>
      <c r="K24" s="531" t="s">
        <v>54</v>
      </c>
      <c r="L24" s="513"/>
      <c r="M24" s="512"/>
      <c r="N24" s="512"/>
    </row>
    <row r="25" spans="2:14">
      <c r="B25" s="550"/>
      <c r="C25" s="515" t="s">
        <v>40</v>
      </c>
      <c r="D25" s="516">
        <f>'Data input'!D82*$C$31</f>
        <v>0</v>
      </c>
      <c r="E25" s="515"/>
      <c r="F25" s="516">
        <f>'Data input'!F82*$C$31</f>
        <v>0</v>
      </c>
      <c r="G25" s="515"/>
      <c r="H25" s="515"/>
      <c r="I25" s="563"/>
      <c r="J25" s="515"/>
      <c r="K25" s="531" t="s">
        <v>54</v>
      </c>
      <c r="L25" s="513"/>
      <c r="M25" s="512"/>
      <c r="N25" s="512"/>
    </row>
    <row r="26" spans="2:14">
      <c r="B26" s="548"/>
      <c r="C26" s="509" t="s">
        <v>41</v>
      </c>
      <c r="D26" s="516">
        <f>'Data input'!D83*$C$31</f>
        <v>0</v>
      </c>
      <c r="E26" s="509"/>
      <c r="F26" s="516">
        <f>'Data input'!F83*$C$31</f>
        <v>0</v>
      </c>
      <c r="G26" s="509"/>
      <c r="H26" s="509"/>
      <c r="I26" s="564"/>
      <c r="J26" s="509"/>
      <c r="K26" s="529" t="s">
        <v>54</v>
      </c>
      <c r="L26" s="513"/>
      <c r="M26" s="512"/>
      <c r="N26" s="512"/>
    </row>
    <row r="27" spans="2:14">
      <c r="B27" s="551" t="s">
        <v>535</v>
      </c>
      <c r="C27" s="515" t="s">
        <v>37</v>
      </c>
      <c r="D27" s="516">
        <f>'Data input'!D86*$C$32</f>
        <v>0</v>
      </c>
      <c r="E27" s="515"/>
      <c r="F27" s="516">
        <f>'Data input'!F86*$C$32</f>
        <v>0</v>
      </c>
      <c r="G27" s="515"/>
      <c r="H27" s="515"/>
      <c r="I27" s="563"/>
      <c r="J27" s="515"/>
      <c r="K27" s="531" t="s">
        <v>54</v>
      </c>
      <c r="L27" s="513"/>
      <c r="M27" s="512"/>
      <c r="N27" s="512"/>
    </row>
    <row r="28" spans="2:14">
      <c r="B28" s="550"/>
      <c r="C28" s="515" t="s">
        <v>39</v>
      </c>
      <c r="D28" s="516">
        <f>'Data input'!D87*$C$32</f>
        <v>0</v>
      </c>
      <c r="E28" s="515"/>
      <c r="F28" s="516">
        <f>'Data input'!F87*$C$32</f>
        <v>0</v>
      </c>
      <c r="G28" s="515"/>
      <c r="H28" s="515"/>
      <c r="I28" s="563"/>
      <c r="J28" s="515"/>
      <c r="K28" s="531" t="s">
        <v>54</v>
      </c>
      <c r="L28" s="513"/>
      <c r="M28" s="512"/>
      <c r="N28" s="512"/>
    </row>
    <row r="29" spans="2:14">
      <c r="B29" s="550"/>
      <c r="C29" s="515" t="s">
        <v>40</v>
      </c>
      <c r="D29" s="516">
        <f>'Data input'!D88*$C$32</f>
        <v>0</v>
      </c>
      <c r="E29" s="515"/>
      <c r="F29" s="516">
        <f>'Data input'!F88*$C$32</f>
        <v>0</v>
      </c>
      <c r="G29" s="515"/>
      <c r="H29" s="515"/>
      <c r="I29" s="563"/>
      <c r="J29" s="515"/>
      <c r="K29" s="531" t="s">
        <v>54</v>
      </c>
      <c r="L29" s="513"/>
      <c r="M29" s="512"/>
      <c r="N29" s="512"/>
    </row>
    <row r="30" spans="2:14">
      <c r="B30" s="548"/>
      <c r="C30" s="509" t="s">
        <v>41</v>
      </c>
      <c r="D30" s="516">
        <f>'Data input'!D89*$C$32</f>
        <v>0</v>
      </c>
      <c r="E30" s="515"/>
      <c r="F30" s="516">
        <f>'Data input'!F89*$C$32</f>
        <v>0</v>
      </c>
      <c r="G30" s="509"/>
      <c r="H30" s="509"/>
      <c r="I30" s="564"/>
      <c r="J30" s="509"/>
      <c r="K30" s="529" t="s">
        <v>54</v>
      </c>
      <c r="L30" s="513"/>
      <c r="M30" s="512"/>
      <c r="N30" s="512"/>
    </row>
    <row r="31" spans="2:14">
      <c r="B31" s="551" t="s">
        <v>24</v>
      </c>
      <c r="C31" s="515">
        <f>'Data input'!D63</f>
        <v>100</v>
      </c>
      <c r="D31" s="515"/>
      <c r="E31" s="563"/>
      <c r="F31" s="515"/>
      <c r="G31" s="515"/>
      <c r="H31" s="515"/>
      <c r="I31" s="563"/>
      <c r="J31" s="515"/>
      <c r="K31" s="531" t="s">
        <v>699</v>
      </c>
      <c r="L31" s="513"/>
      <c r="M31" s="512"/>
      <c r="N31" s="512"/>
    </row>
    <row r="32" spans="2:14">
      <c r="B32" s="567" t="s">
        <v>22</v>
      </c>
      <c r="C32" s="509">
        <f>'Data input'!D64</f>
        <v>100</v>
      </c>
      <c r="D32" s="509"/>
      <c r="E32" s="564"/>
      <c r="F32" s="509"/>
      <c r="G32" s="509"/>
      <c r="H32" s="509"/>
      <c r="I32" s="564"/>
      <c r="J32" s="509"/>
      <c r="K32" s="529" t="s">
        <v>699</v>
      </c>
      <c r="L32" s="513"/>
      <c r="M32" s="512"/>
      <c r="N32" s="512"/>
    </row>
    <row r="33" spans="2:14" ht="12.95" customHeight="1">
      <c r="B33" s="515"/>
      <c r="C33" s="515"/>
      <c r="D33" s="515"/>
      <c r="E33" s="563"/>
      <c r="F33" s="515"/>
      <c r="G33" s="515"/>
      <c r="H33" s="515"/>
      <c r="I33" s="563"/>
      <c r="J33" s="515"/>
      <c r="K33" s="515"/>
      <c r="L33" s="513"/>
      <c r="M33" s="512"/>
      <c r="N33" s="512"/>
    </row>
    <row r="34" spans="2:14">
      <c r="B34" s="517" t="s">
        <v>144</v>
      </c>
      <c r="C34" s="515"/>
      <c r="D34" s="515"/>
      <c r="E34" s="563"/>
      <c r="F34" s="515"/>
      <c r="G34" s="515"/>
      <c r="H34" s="515"/>
      <c r="I34" s="563"/>
      <c r="J34" s="515"/>
      <c r="K34" s="515"/>
      <c r="L34" s="513"/>
      <c r="M34" s="512"/>
      <c r="N34" s="512"/>
    </row>
    <row r="35" spans="2:14">
      <c r="B35" s="517" t="s">
        <v>145</v>
      </c>
      <c r="C35" s="515"/>
      <c r="D35" s="517" t="s">
        <v>146</v>
      </c>
      <c r="E35" s="563"/>
      <c r="F35" s="515"/>
      <c r="G35" s="515"/>
      <c r="H35" s="515"/>
      <c r="I35" s="563"/>
      <c r="J35" s="515"/>
      <c r="K35" s="515"/>
      <c r="L35" s="513" t="s">
        <v>147</v>
      </c>
      <c r="M35" s="513" t="s">
        <v>214</v>
      </c>
      <c r="N35" s="513" t="s">
        <v>523</v>
      </c>
    </row>
    <row r="36" spans="2:14">
      <c r="B36" s="515"/>
      <c r="C36" s="515"/>
      <c r="D36" s="515" t="s">
        <v>148</v>
      </c>
      <c r="E36" s="563"/>
      <c r="F36" s="515"/>
      <c r="G36" s="515"/>
      <c r="H36" s="515"/>
      <c r="I36" s="563"/>
      <c r="J36" s="515"/>
      <c r="K36" s="515"/>
      <c r="L36" s="566"/>
      <c r="M36" s="512"/>
      <c r="N36" s="512"/>
    </row>
    <row r="37" spans="2:14">
      <c r="B37" s="515"/>
      <c r="C37" s="515"/>
      <c r="D37" s="515" t="s">
        <v>150</v>
      </c>
      <c r="E37" s="563"/>
      <c r="F37" s="515"/>
      <c r="G37" s="515"/>
      <c r="H37" s="515"/>
      <c r="I37" s="515"/>
      <c r="J37" s="515"/>
      <c r="K37" s="515"/>
      <c r="L37" s="513" t="s">
        <v>696</v>
      </c>
      <c r="M37" s="512"/>
      <c r="N37" s="512"/>
    </row>
    <row r="38" spans="2:14">
      <c r="B38" s="515"/>
      <c r="C38" s="515"/>
      <c r="D38" s="515" t="s">
        <v>536</v>
      </c>
      <c r="E38" s="565">
        <v>1</v>
      </c>
      <c r="F38" s="515"/>
      <c r="G38" s="515"/>
      <c r="H38" s="515"/>
      <c r="I38" s="515"/>
      <c r="J38" s="515"/>
      <c r="K38" s="515"/>
      <c r="L38" s="513"/>
      <c r="M38" s="512"/>
      <c r="N38" s="512"/>
    </row>
    <row r="39" spans="2:14">
      <c r="B39" s="515"/>
      <c r="C39" s="515"/>
      <c r="D39" s="515"/>
      <c r="E39" s="563"/>
      <c r="F39" s="515"/>
      <c r="G39" s="515"/>
      <c r="H39" s="515"/>
      <c r="I39" s="515"/>
      <c r="J39" s="515"/>
      <c r="K39" s="515"/>
      <c r="L39" s="513"/>
      <c r="M39" s="512"/>
      <c r="N39" s="512"/>
    </row>
    <row r="40" spans="2:14">
      <c r="B40" s="509"/>
      <c r="C40" s="509"/>
      <c r="D40" s="525" t="s">
        <v>533</v>
      </c>
      <c r="E40" s="526"/>
      <c r="F40" s="525" t="s">
        <v>198</v>
      </c>
      <c r="G40" s="509"/>
      <c r="H40" s="509"/>
      <c r="I40" s="509"/>
      <c r="J40" s="509"/>
      <c r="K40" s="509"/>
      <c r="L40" s="513"/>
      <c r="M40" s="512"/>
      <c r="N40" s="512"/>
    </row>
    <row r="41" spans="2:14">
      <c r="B41" s="517" t="s">
        <v>151</v>
      </c>
      <c r="C41" s="515" t="s">
        <v>37</v>
      </c>
      <c r="D41" s="516">
        <f>D15*$E$38*10^-6</f>
        <v>0</v>
      </c>
      <c r="E41" s="515"/>
      <c r="F41" s="516">
        <f>F15*$E$38*10^-6</f>
        <v>0</v>
      </c>
      <c r="G41" s="515"/>
      <c r="H41" s="515"/>
      <c r="I41" s="563"/>
      <c r="J41" s="515"/>
      <c r="K41" s="515" t="s">
        <v>152</v>
      </c>
      <c r="L41" s="513"/>
      <c r="M41" s="512"/>
      <c r="N41" s="512"/>
    </row>
    <row r="42" spans="2:14">
      <c r="B42" s="517"/>
      <c r="C42" s="515" t="s">
        <v>39</v>
      </c>
      <c r="D42" s="516">
        <f>D16*$E$38*10^-6</f>
        <v>0</v>
      </c>
      <c r="E42" s="515"/>
      <c r="F42" s="516">
        <f>F16*$E$38*10^-6</f>
        <v>0</v>
      </c>
      <c r="G42" s="515"/>
      <c r="H42" s="515"/>
      <c r="I42" s="563"/>
      <c r="J42" s="515"/>
      <c r="K42" s="515" t="s">
        <v>152</v>
      </c>
      <c r="L42" s="513"/>
      <c r="M42" s="512"/>
      <c r="N42" s="512"/>
    </row>
    <row r="43" spans="2:14">
      <c r="B43" s="517"/>
      <c r="C43" s="515" t="s">
        <v>40</v>
      </c>
      <c r="D43" s="516">
        <f>D17*$E$38*10^-6</f>
        <v>0</v>
      </c>
      <c r="E43" s="515"/>
      <c r="F43" s="516">
        <f>F17*$E$38*10^-6</f>
        <v>0</v>
      </c>
      <c r="G43" s="515"/>
      <c r="H43" s="515"/>
      <c r="I43" s="563"/>
      <c r="J43" s="515"/>
      <c r="K43" s="515" t="s">
        <v>152</v>
      </c>
      <c r="L43" s="513"/>
      <c r="M43" s="512"/>
      <c r="N43" s="512"/>
    </row>
    <row r="44" spans="2:14">
      <c r="B44" s="511"/>
      <c r="C44" s="509" t="s">
        <v>41</v>
      </c>
      <c r="D44" s="562">
        <f>D18*$E$38*10^-6</f>
        <v>0</v>
      </c>
      <c r="E44" s="509"/>
      <c r="F44" s="562">
        <f>F18*$E$38*10^-6</f>
        <v>0</v>
      </c>
      <c r="G44" s="509"/>
      <c r="H44" s="509"/>
      <c r="I44" s="509"/>
      <c r="J44" s="509"/>
      <c r="K44" s="509" t="s">
        <v>152</v>
      </c>
      <c r="L44" s="513"/>
      <c r="M44" s="512"/>
      <c r="N44" s="512"/>
    </row>
    <row r="45" spans="2:14">
      <c r="B45" s="517" t="s">
        <v>153</v>
      </c>
      <c r="C45" s="515" t="s">
        <v>37</v>
      </c>
      <c r="D45" s="516">
        <f>D19*1*10^-6</f>
        <v>5.0000000000000001E-3</v>
      </c>
      <c r="E45" s="515"/>
      <c r="F45" s="516">
        <f>F19*1*10^-6</f>
        <v>0</v>
      </c>
      <c r="G45" s="515"/>
      <c r="H45" s="515"/>
      <c r="I45" s="515"/>
      <c r="J45" s="515"/>
      <c r="K45" s="515" t="s">
        <v>152</v>
      </c>
      <c r="L45" s="513"/>
      <c r="M45" s="512"/>
      <c r="N45" s="512"/>
    </row>
    <row r="46" spans="2:14">
      <c r="B46" s="517"/>
      <c r="C46" s="515" t="s">
        <v>39</v>
      </c>
      <c r="D46" s="516">
        <f>D20*1*10^-6</f>
        <v>0</v>
      </c>
      <c r="E46" s="515"/>
      <c r="F46" s="516">
        <f>F20*1*10^-6</f>
        <v>0</v>
      </c>
      <c r="G46" s="515"/>
      <c r="H46" s="515"/>
      <c r="I46" s="515"/>
      <c r="J46" s="515"/>
      <c r="K46" s="515" t="s">
        <v>152</v>
      </c>
      <c r="L46" s="513"/>
      <c r="M46" s="512"/>
      <c r="N46" s="512"/>
    </row>
    <row r="47" spans="2:14">
      <c r="B47" s="517"/>
      <c r="C47" s="515" t="s">
        <v>40</v>
      </c>
      <c r="D47" s="516">
        <f>D21*1*10^-6</f>
        <v>0</v>
      </c>
      <c r="E47" s="515"/>
      <c r="F47" s="516">
        <f>F21*1*10^-6</f>
        <v>0</v>
      </c>
      <c r="G47" s="515"/>
      <c r="H47" s="515"/>
      <c r="I47" s="515"/>
      <c r="J47" s="515"/>
      <c r="K47" s="515" t="s">
        <v>152</v>
      </c>
      <c r="L47" s="513"/>
      <c r="M47" s="512"/>
      <c r="N47" s="512"/>
    </row>
    <row r="48" spans="2:14">
      <c r="B48" s="511"/>
      <c r="C48" s="509" t="s">
        <v>41</v>
      </c>
      <c r="D48" s="562">
        <f>D22*1*10^-6</f>
        <v>0</v>
      </c>
      <c r="E48" s="509"/>
      <c r="F48" s="562">
        <f>F22*1*10^-6</f>
        <v>0</v>
      </c>
      <c r="G48" s="509"/>
      <c r="H48" s="509"/>
      <c r="I48" s="509"/>
      <c r="J48" s="509"/>
      <c r="K48" s="509" t="s">
        <v>152</v>
      </c>
      <c r="L48" s="513"/>
      <c r="M48" s="512"/>
      <c r="N48" s="512"/>
    </row>
    <row r="49" spans="2:14">
      <c r="B49" s="515"/>
      <c r="C49" s="515"/>
      <c r="D49" s="515"/>
      <c r="E49" s="563"/>
      <c r="F49" s="515"/>
      <c r="G49" s="515"/>
      <c r="H49" s="515"/>
      <c r="I49" s="515"/>
      <c r="J49" s="515"/>
      <c r="K49" s="515"/>
      <c r="L49" s="513"/>
      <c r="M49" s="512"/>
      <c r="N49" s="512"/>
    </row>
    <row r="50" spans="2:14">
      <c r="B50" s="517" t="s">
        <v>698</v>
      </c>
      <c r="C50" s="515"/>
      <c r="D50" s="515"/>
      <c r="E50" s="563"/>
      <c r="F50" s="515"/>
      <c r="G50" s="515"/>
      <c r="H50" s="515"/>
      <c r="I50" s="563"/>
      <c r="J50" s="515"/>
      <c r="K50" s="515"/>
      <c r="L50" s="513"/>
      <c r="M50" s="512"/>
      <c r="N50" s="512"/>
    </row>
    <row r="51" spans="2:14">
      <c r="B51" s="517" t="s">
        <v>697</v>
      </c>
      <c r="C51" s="515"/>
      <c r="D51" s="517" t="s">
        <v>146</v>
      </c>
      <c r="E51" s="563"/>
      <c r="F51" s="515"/>
      <c r="G51" s="515"/>
      <c r="H51" s="515"/>
      <c r="I51" s="563"/>
      <c r="J51" s="515"/>
      <c r="K51" s="515"/>
      <c r="L51" s="513" t="s">
        <v>147</v>
      </c>
      <c r="M51" s="513" t="s">
        <v>214</v>
      </c>
      <c r="N51" s="513" t="s">
        <v>523</v>
      </c>
    </row>
    <row r="52" spans="2:14">
      <c r="B52" s="515"/>
      <c r="C52" s="515"/>
      <c r="D52" s="515" t="s">
        <v>148</v>
      </c>
      <c r="E52" s="563"/>
      <c r="F52" s="515"/>
      <c r="G52" s="515"/>
      <c r="H52" s="515"/>
      <c r="I52" s="563"/>
      <c r="J52" s="515"/>
      <c r="K52" s="515"/>
      <c r="L52" s="566"/>
      <c r="M52" s="512"/>
      <c r="N52" s="512"/>
    </row>
    <row r="53" spans="2:14">
      <c r="B53" s="515"/>
      <c r="C53" s="515"/>
      <c r="D53" s="515" t="s">
        <v>150</v>
      </c>
      <c r="E53" s="563"/>
      <c r="F53" s="515"/>
      <c r="G53" s="515"/>
      <c r="H53" s="515"/>
      <c r="I53" s="515"/>
      <c r="J53" s="515"/>
      <c r="K53" s="515"/>
      <c r="L53" s="513" t="s">
        <v>696</v>
      </c>
      <c r="M53" s="512"/>
      <c r="N53" s="512"/>
    </row>
    <row r="54" spans="2:14">
      <c r="B54" s="515"/>
      <c r="C54" s="515"/>
      <c r="D54" s="515" t="s">
        <v>536</v>
      </c>
      <c r="E54" s="565">
        <v>1</v>
      </c>
      <c r="F54" s="515"/>
      <c r="G54" s="515"/>
      <c r="H54" s="515"/>
      <c r="I54" s="515"/>
      <c r="J54" s="515"/>
      <c r="K54" s="515"/>
      <c r="L54" s="513"/>
      <c r="M54" s="512"/>
      <c r="N54" s="512"/>
    </row>
    <row r="55" spans="2:14">
      <c r="B55" s="515"/>
      <c r="C55" s="515"/>
      <c r="D55" s="515"/>
      <c r="E55" s="563"/>
      <c r="F55" s="515"/>
      <c r="G55" s="515"/>
      <c r="H55" s="515"/>
      <c r="I55" s="515"/>
      <c r="J55" s="515"/>
      <c r="K55" s="515"/>
      <c r="L55" s="513"/>
      <c r="M55" s="512"/>
      <c r="N55" s="512"/>
    </row>
    <row r="56" spans="2:14">
      <c r="B56" s="509"/>
      <c r="C56" s="509"/>
      <c r="D56" s="525" t="s">
        <v>533</v>
      </c>
      <c r="E56" s="526"/>
      <c r="F56" s="525" t="s">
        <v>198</v>
      </c>
      <c r="G56" s="509"/>
      <c r="H56" s="509"/>
      <c r="I56" s="509"/>
      <c r="J56" s="509"/>
      <c r="K56" s="509"/>
      <c r="L56" s="513"/>
      <c r="M56" s="512"/>
      <c r="N56" s="512"/>
    </row>
    <row r="57" spans="2:14">
      <c r="B57" s="517" t="s">
        <v>695</v>
      </c>
      <c r="C57" s="515" t="s">
        <v>37</v>
      </c>
      <c r="D57" s="516">
        <f>D23*$E$54*10^-6</f>
        <v>0</v>
      </c>
      <c r="E57" s="563"/>
      <c r="F57" s="516">
        <f>F23*$E$54*10^-6</f>
        <v>0</v>
      </c>
      <c r="G57" s="515"/>
      <c r="H57" s="515"/>
      <c r="I57" s="515"/>
      <c r="J57" s="515"/>
      <c r="K57" s="515" t="s">
        <v>152</v>
      </c>
      <c r="L57" s="513"/>
      <c r="M57" s="512"/>
      <c r="N57" s="512"/>
    </row>
    <row r="58" spans="2:14">
      <c r="B58" s="517"/>
      <c r="C58" s="515" t="s">
        <v>39</v>
      </c>
      <c r="D58" s="516">
        <f>D24*$E$54*10^-6</f>
        <v>0</v>
      </c>
      <c r="E58" s="563"/>
      <c r="F58" s="516">
        <f>F24*$E$54*10^-6</f>
        <v>0</v>
      </c>
      <c r="G58" s="515"/>
      <c r="H58" s="515"/>
      <c r="I58" s="515"/>
      <c r="J58" s="515"/>
      <c r="K58" s="515" t="s">
        <v>152</v>
      </c>
      <c r="L58" s="513"/>
      <c r="M58" s="512"/>
      <c r="N58" s="512"/>
    </row>
    <row r="59" spans="2:14">
      <c r="B59" s="517"/>
      <c r="C59" s="515" t="s">
        <v>40</v>
      </c>
      <c r="D59" s="516">
        <f>D25*$E$54*10^-6</f>
        <v>0</v>
      </c>
      <c r="E59" s="563"/>
      <c r="F59" s="516">
        <f>F25*$E$54*10^-6</f>
        <v>0</v>
      </c>
      <c r="G59" s="515"/>
      <c r="H59" s="515"/>
      <c r="I59" s="515"/>
      <c r="J59" s="515"/>
      <c r="K59" s="515" t="s">
        <v>152</v>
      </c>
      <c r="L59" s="513"/>
      <c r="M59" s="512"/>
      <c r="N59" s="512"/>
    </row>
    <row r="60" spans="2:14">
      <c r="B60" s="511"/>
      <c r="C60" s="509" t="s">
        <v>41</v>
      </c>
      <c r="D60" s="562">
        <f>D26*$E$54*10^-6</f>
        <v>0</v>
      </c>
      <c r="E60" s="564"/>
      <c r="F60" s="562">
        <f>F26*$E$54*10^-6</f>
        <v>0</v>
      </c>
      <c r="G60" s="509"/>
      <c r="H60" s="509"/>
      <c r="I60" s="509"/>
      <c r="J60" s="509"/>
      <c r="K60" s="509" t="s">
        <v>152</v>
      </c>
      <c r="L60" s="513"/>
      <c r="M60" s="512"/>
      <c r="N60" s="512"/>
    </row>
    <row r="61" spans="2:14">
      <c r="B61" s="517" t="s">
        <v>694</v>
      </c>
      <c r="C61" s="515" t="s">
        <v>37</v>
      </c>
      <c r="D61" s="516">
        <f>D27*$E$54*10^-6</f>
        <v>0</v>
      </c>
      <c r="E61" s="563"/>
      <c r="F61" s="516">
        <f>F27*$E$54*10^-6</f>
        <v>0</v>
      </c>
      <c r="G61" s="515"/>
      <c r="H61" s="515"/>
      <c r="I61" s="515"/>
      <c r="J61" s="515"/>
      <c r="K61" s="515" t="s">
        <v>152</v>
      </c>
      <c r="L61" s="513"/>
      <c r="M61" s="512"/>
      <c r="N61" s="512"/>
    </row>
    <row r="62" spans="2:14">
      <c r="B62" s="517"/>
      <c r="C62" s="515" t="s">
        <v>39</v>
      </c>
      <c r="D62" s="516">
        <f>D28*$E$54*10^-6</f>
        <v>0</v>
      </c>
      <c r="E62" s="563"/>
      <c r="F62" s="516">
        <f>F28*$E$54*10^-6</f>
        <v>0</v>
      </c>
      <c r="G62" s="515"/>
      <c r="H62" s="515"/>
      <c r="I62" s="515"/>
      <c r="J62" s="515"/>
      <c r="K62" s="515" t="s">
        <v>152</v>
      </c>
      <c r="L62" s="513"/>
      <c r="M62" s="512"/>
      <c r="N62" s="512"/>
    </row>
    <row r="63" spans="2:14">
      <c r="B63" s="517"/>
      <c r="C63" s="515" t="s">
        <v>40</v>
      </c>
      <c r="D63" s="516">
        <f>D29*$E$54*10^-6</f>
        <v>0</v>
      </c>
      <c r="E63" s="563"/>
      <c r="F63" s="516">
        <f>F29*$E$54*10^-6</f>
        <v>0</v>
      </c>
      <c r="G63" s="515"/>
      <c r="H63" s="515"/>
      <c r="I63" s="515"/>
      <c r="J63" s="515"/>
      <c r="K63" s="515" t="s">
        <v>152</v>
      </c>
      <c r="L63" s="513"/>
      <c r="M63" s="512"/>
      <c r="N63" s="512"/>
    </row>
    <row r="64" spans="2:14">
      <c r="B64" s="511"/>
      <c r="C64" s="509" t="s">
        <v>41</v>
      </c>
      <c r="D64" s="562">
        <f>D30*$E$54*10^-6</f>
        <v>0</v>
      </c>
      <c r="E64" s="564"/>
      <c r="F64" s="562">
        <f>F30*$E$54*10^-6</f>
        <v>0</v>
      </c>
      <c r="G64" s="509"/>
      <c r="H64" s="509"/>
      <c r="I64" s="509"/>
      <c r="J64" s="509"/>
      <c r="K64" s="509" t="s">
        <v>152</v>
      </c>
      <c r="L64" s="513"/>
      <c r="M64" s="512"/>
      <c r="N64" s="512"/>
    </row>
    <row r="65" spans="2:14">
      <c r="B65" s="515"/>
      <c r="C65" s="515"/>
      <c r="D65" s="515"/>
      <c r="E65" s="563"/>
      <c r="F65" s="515"/>
      <c r="G65" s="515"/>
      <c r="H65" s="515"/>
      <c r="I65" s="515"/>
      <c r="J65" s="515"/>
      <c r="K65" s="515"/>
      <c r="L65" s="513"/>
      <c r="M65" s="512"/>
      <c r="N65" s="512"/>
    </row>
    <row r="66" spans="2:14">
      <c r="B66" s="517" t="s">
        <v>693</v>
      </c>
      <c r="C66" s="515"/>
      <c r="D66" s="517" t="s">
        <v>154</v>
      </c>
      <c r="E66" s="563"/>
      <c r="F66" s="515"/>
      <c r="G66" s="515"/>
      <c r="H66" s="515"/>
      <c r="I66" s="515"/>
      <c r="J66" s="515"/>
      <c r="K66" s="515"/>
      <c r="L66" s="513" t="s">
        <v>537</v>
      </c>
      <c r="M66" s="513" t="s">
        <v>538</v>
      </c>
      <c r="N66" s="513" t="s">
        <v>523</v>
      </c>
    </row>
    <row r="67" spans="2:14">
      <c r="B67" s="509"/>
      <c r="C67" s="509"/>
      <c r="D67" s="525" t="s">
        <v>533</v>
      </c>
      <c r="E67" s="526"/>
      <c r="F67" s="525" t="s">
        <v>198</v>
      </c>
      <c r="G67" s="509"/>
      <c r="H67" s="562"/>
      <c r="I67" s="509"/>
      <c r="J67" s="509"/>
      <c r="K67" s="537"/>
      <c r="L67" s="513"/>
      <c r="M67" s="512"/>
      <c r="N67" s="512"/>
    </row>
    <row r="68" spans="2:14">
      <c r="B68" s="517" t="s">
        <v>151</v>
      </c>
      <c r="C68" s="515" t="s">
        <v>37</v>
      </c>
      <c r="D68" s="518">
        <f>D41*$D$8*$K$5</f>
        <v>0</v>
      </c>
      <c r="E68" s="515"/>
      <c r="F68" s="518">
        <f>F41*$D$6*$K$5</f>
        <v>0</v>
      </c>
      <c r="G68" s="515"/>
      <c r="H68" s="516"/>
      <c r="I68" s="515"/>
      <c r="J68" s="515"/>
      <c r="K68" s="536" t="s">
        <v>139</v>
      </c>
      <c r="L68" s="513"/>
      <c r="M68" s="512"/>
      <c r="N68" s="512"/>
    </row>
    <row r="69" spans="2:14">
      <c r="B69" s="517"/>
      <c r="C69" s="515" t="s">
        <v>39</v>
      </c>
      <c r="D69" s="518">
        <f>D42*$D$8*$K$5</f>
        <v>0</v>
      </c>
      <c r="E69" s="515"/>
      <c r="F69" s="518">
        <f>F42*$D$6*$K$5</f>
        <v>0</v>
      </c>
      <c r="G69" s="515"/>
      <c r="H69" s="516"/>
      <c r="I69" s="515"/>
      <c r="J69" s="515"/>
      <c r="K69" s="536" t="s">
        <v>139</v>
      </c>
      <c r="L69" s="513"/>
      <c r="M69" s="512"/>
      <c r="N69" s="512"/>
    </row>
    <row r="70" spans="2:14">
      <c r="B70" s="517"/>
      <c r="C70" s="515" t="s">
        <v>40</v>
      </c>
      <c r="D70" s="518">
        <f>D43*$D$8*$K$5</f>
        <v>0</v>
      </c>
      <c r="E70" s="515"/>
      <c r="F70" s="518">
        <f>F43*$D$6*$K$5</f>
        <v>0</v>
      </c>
      <c r="G70" s="515"/>
      <c r="H70" s="516"/>
      <c r="I70" s="515"/>
      <c r="J70" s="515"/>
      <c r="K70" s="536" t="s">
        <v>139</v>
      </c>
      <c r="L70" s="513"/>
      <c r="M70" s="512"/>
      <c r="N70" s="512"/>
    </row>
    <row r="71" spans="2:14">
      <c r="B71" s="511"/>
      <c r="C71" s="509" t="s">
        <v>41</v>
      </c>
      <c r="D71" s="518">
        <f>D44*$D$8*$K$5</f>
        <v>0</v>
      </c>
      <c r="E71" s="509"/>
      <c r="F71" s="521">
        <f>F44*$D$6*$K$5</f>
        <v>0</v>
      </c>
      <c r="G71" s="509"/>
      <c r="H71" s="562"/>
      <c r="I71" s="509"/>
      <c r="J71" s="509"/>
      <c r="K71" s="537" t="s">
        <v>139</v>
      </c>
      <c r="L71" s="513"/>
      <c r="M71" s="512"/>
      <c r="N71" s="512"/>
    </row>
    <row r="72" spans="2:14">
      <c r="B72" s="517" t="s">
        <v>153</v>
      </c>
      <c r="C72" s="515" t="s">
        <v>37</v>
      </c>
      <c r="D72" s="544">
        <f>D45*$D$7*$K$5</f>
        <v>1.5714285714285715E-5</v>
      </c>
      <c r="E72" s="515"/>
      <c r="F72" s="518">
        <f>F45*$D$5*$K$5</f>
        <v>0</v>
      </c>
      <c r="G72" s="515"/>
      <c r="H72" s="516"/>
      <c r="I72" s="515"/>
      <c r="J72" s="515"/>
      <c r="K72" s="536" t="s">
        <v>139</v>
      </c>
      <c r="L72" s="513"/>
      <c r="M72" s="512"/>
      <c r="N72" s="512"/>
    </row>
    <row r="73" spans="2:14">
      <c r="B73" s="517"/>
      <c r="C73" s="515" t="s">
        <v>39</v>
      </c>
      <c r="D73" s="544">
        <f>D46*$D$7*$K$5</f>
        <v>0</v>
      </c>
      <c r="E73" s="515"/>
      <c r="F73" s="518">
        <f>F46*$D$5*$K$5</f>
        <v>0</v>
      </c>
      <c r="G73" s="515"/>
      <c r="H73" s="516"/>
      <c r="I73" s="515"/>
      <c r="J73" s="515"/>
      <c r="K73" s="536" t="s">
        <v>139</v>
      </c>
      <c r="L73" s="513"/>
      <c r="M73" s="512"/>
      <c r="N73" s="512"/>
    </row>
    <row r="74" spans="2:14">
      <c r="B74" s="517"/>
      <c r="C74" s="515" t="s">
        <v>40</v>
      </c>
      <c r="D74" s="544">
        <f>D47*$D$7*$K$5</f>
        <v>0</v>
      </c>
      <c r="E74" s="515"/>
      <c r="F74" s="518">
        <f>F47*$D$5*$K$5</f>
        <v>0</v>
      </c>
      <c r="G74" s="515"/>
      <c r="H74" s="516"/>
      <c r="I74" s="515"/>
      <c r="J74" s="515"/>
      <c r="K74" s="536" t="s">
        <v>139</v>
      </c>
      <c r="L74" s="513"/>
      <c r="M74" s="512"/>
      <c r="N74" s="512"/>
    </row>
    <row r="75" spans="2:14">
      <c r="B75" s="511"/>
      <c r="C75" s="509" t="s">
        <v>41</v>
      </c>
      <c r="D75" s="543">
        <f>D48*$D$7*$K$5</f>
        <v>0</v>
      </c>
      <c r="E75" s="509"/>
      <c r="F75" s="521">
        <f>F48*$D$5*$K$5</f>
        <v>0</v>
      </c>
      <c r="G75" s="509"/>
      <c r="H75" s="562"/>
      <c r="I75" s="509"/>
      <c r="J75" s="509"/>
      <c r="K75" s="537" t="s">
        <v>139</v>
      </c>
      <c r="L75" s="513"/>
      <c r="M75" s="512"/>
      <c r="N75" s="512"/>
    </row>
    <row r="76" spans="2:14">
      <c r="B76" s="515"/>
      <c r="C76" s="515"/>
      <c r="D76" s="515"/>
      <c r="E76" s="515"/>
      <c r="F76" s="515"/>
      <c r="G76" s="515"/>
      <c r="H76" s="516"/>
      <c r="I76" s="515"/>
      <c r="J76" s="515"/>
      <c r="K76" s="515"/>
      <c r="L76" s="513"/>
      <c r="M76" s="512"/>
      <c r="N76" s="512"/>
    </row>
    <row r="77" spans="2:14">
      <c r="B77" s="517" t="s">
        <v>692</v>
      </c>
      <c r="C77" s="515"/>
      <c r="D77" s="517" t="s">
        <v>154</v>
      </c>
      <c r="E77" s="515"/>
      <c r="F77" s="515"/>
      <c r="G77" s="515"/>
      <c r="H77" s="516"/>
      <c r="I77" s="515"/>
      <c r="J77" s="515"/>
      <c r="K77" s="515"/>
      <c r="L77" s="513" t="s">
        <v>622</v>
      </c>
      <c r="M77" s="513" t="s">
        <v>542</v>
      </c>
      <c r="N77" s="513" t="s">
        <v>546</v>
      </c>
    </row>
    <row r="78" spans="2:14">
      <c r="B78" s="509"/>
      <c r="C78" s="509"/>
      <c r="D78" s="525" t="s">
        <v>533</v>
      </c>
      <c r="E78" s="526"/>
      <c r="F78" s="525" t="s">
        <v>198</v>
      </c>
      <c r="G78" s="509"/>
      <c r="H78" s="562"/>
      <c r="I78" s="509"/>
      <c r="J78" s="509"/>
      <c r="K78" s="509"/>
      <c r="L78" s="513"/>
      <c r="M78" s="512"/>
      <c r="N78" s="512"/>
    </row>
    <row r="79" spans="2:14">
      <c r="B79" s="517" t="s">
        <v>691</v>
      </c>
      <c r="C79" s="515" t="s">
        <v>37</v>
      </c>
      <c r="D79" s="518">
        <f>D57*$D$10*$K$5</f>
        <v>0</v>
      </c>
      <c r="E79" s="515"/>
      <c r="F79" s="518">
        <f>F57*$D$10*$K$5</f>
        <v>0</v>
      </c>
      <c r="G79" s="515"/>
      <c r="H79" s="516"/>
      <c r="I79" s="515"/>
      <c r="J79" s="515"/>
      <c r="K79" s="536" t="s">
        <v>139</v>
      </c>
      <c r="L79" s="513"/>
      <c r="M79" s="512"/>
      <c r="N79" s="512"/>
    </row>
    <row r="80" spans="2:14">
      <c r="B80" s="517"/>
      <c r="C80" s="515" t="s">
        <v>39</v>
      </c>
      <c r="D80" s="518">
        <f>D58*$D$10*$K$5</f>
        <v>0</v>
      </c>
      <c r="E80" s="515"/>
      <c r="F80" s="518">
        <f>F58*$D$10*$K$5</f>
        <v>0</v>
      </c>
      <c r="G80" s="515"/>
      <c r="H80" s="516"/>
      <c r="I80" s="515"/>
      <c r="J80" s="515"/>
      <c r="K80" s="536" t="s">
        <v>139</v>
      </c>
      <c r="L80" s="513"/>
      <c r="M80" s="512"/>
      <c r="N80" s="512"/>
    </row>
    <row r="81" spans="2:14">
      <c r="B81" s="517"/>
      <c r="C81" s="515" t="s">
        <v>40</v>
      </c>
      <c r="D81" s="518">
        <f>D59*$D$10*$K$5</f>
        <v>0</v>
      </c>
      <c r="E81" s="515"/>
      <c r="F81" s="518">
        <f>F59*$D$10*$K$5</f>
        <v>0</v>
      </c>
      <c r="G81" s="515"/>
      <c r="H81" s="516"/>
      <c r="I81" s="515"/>
      <c r="J81" s="515"/>
      <c r="K81" s="536" t="s">
        <v>139</v>
      </c>
      <c r="L81" s="513"/>
      <c r="M81" s="512"/>
      <c r="N81" s="512"/>
    </row>
    <row r="82" spans="2:14">
      <c r="B82" s="511"/>
      <c r="C82" s="509" t="s">
        <v>41</v>
      </c>
      <c r="D82" s="521">
        <f>D60*$D$10*$K$5</f>
        <v>0</v>
      </c>
      <c r="E82" s="509"/>
      <c r="F82" s="521">
        <f>F60*$D$10*$K$5</f>
        <v>0</v>
      </c>
      <c r="G82" s="509"/>
      <c r="H82" s="562"/>
      <c r="I82" s="509"/>
      <c r="J82" s="509"/>
      <c r="K82" s="537" t="s">
        <v>139</v>
      </c>
      <c r="L82" s="513"/>
      <c r="M82" s="512"/>
      <c r="N82" s="512"/>
    </row>
    <row r="83" spans="2:14">
      <c r="B83" s="517" t="s">
        <v>626</v>
      </c>
      <c r="C83" s="515" t="s">
        <v>37</v>
      </c>
      <c r="D83" s="518">
        <f>D61*$D$10*$K$5</f>
        <v>0</v>
      </c>
      <c r="E83" s="515"/>
      <c r="F83" s="518">
        <f>F61*$D$10*$K$5</f>
        <v>0</v>
      </c>
      <c r="G83" s="515"/>
      <c r="H83" s="516"/>
      <c r="I83" s="515"/>
      <c r="J83" s="515"/>
      <c r="K83" s="536" t="s">
        <v>139</v>
      </c>
      <c r="L83" s="513"/>
      <c r="M83" s="512"/>
      <c r="N83" s="512"/>
    </row>
    <row r="84" spans="2:14">
      <c r="B84" s="517"/>
      <c r="C84" s="515" t="s">
        <v>39</v>
      </c>
      <c r="D84" s="518">
        <f>D62*$D$10*$K$5</f>
        <v>0</v>
      </c>
      <c r="E84" s="515"/>
      <c r="F84" s="518">
        <f>F62*$D$10*$K$5</f>
        <v>0</v>
      </c>
      <c r="G84" s="515"/>
      <c r="H84" s="516"/>
      <c r="I84" s="515"/>
      <c r="J84" s="515"/>
      <c r="K84" s="536" t="s">
        <v>139</v>
      </c>
      <c r="L84" s="513"/>
      <c r="M84" s="512"/>
      <c r="N84" s="512"/>
    </row>
    <row r="85" spans="2:14">
      <c r="B85" s="517"/>
      <c r="C85" s="515" t="s">
        <v>40</v>
      </c>
      <c r="D85" s="518">
        <f>D63*$D$10*$K$5</f>
        <v>0</v>
      </c>
      <c r="E85" s="515"/>
      <c r="F85" s="518">
        <f>F63*$D$10*$K$5</f>
        <v>0</v>
      </c>
      <c r="G85" s="515"/>
      <c r="H85" s="516"/>
      <c r="I85" s="515"/>
      <c r="J85" s="515"/>
      <c r="K85" s="536" t="s">
        <v>139</v>
      </c>
      <c r="L85" s="513"/>
      <c r="M85" s="512"/>
      <c r="N85" s="512"/>
    </row>
    <row r="86" spans="2:14">
      <c r="B86" s="511"/>
      <c r="C86" s="509" t="s">
        <v>41</v>
      </c>
      <c r="D86" s="521">
        <f>D64*$D$10*$K$5</f>
        <v>0</v>
      </c>
      <c r="E86" s="509"/>
      <c r="F86" s="521">
        <f>F64*$D$10*$K$5</f>
        <v>0</v>
      </c>
      <c r="G86" s="509"/>
      <c r="H86" s="562"/>
      <c r="I86" s="509"/>
      <c r="J86" s="509"/>
      <c r="K86" s="537" t="s">
        <v>139</v>
      </c>
      <c r="L86" s="513"/>
      <c r="M86" s="512"/>
      <c r="N86" s="512"/>
    </row>
    <row r="87" spans="2:14">
      <c r="B87" s="561" t="s">
        <v>690</v>
      </c>
      <c r="C87" s="516">
        <f>SUM(D68:D71,F68:F71,D72:D75,F72:F75,D79:D82,F79:F82,D83:D86,F83:F86)</f>
        <v>1.5714285714285715E-5</v>
      </c>
      <c r="D87" s="515"/>
      <c r="E87" s="515"/>
      <c r="F87" s="515"/>
      <c r="G87" s="515"/>
      <c r="H87" s="515"/>
      <c r="I87" s="515"/>
      <c r="J87" s="515"/>
      <c r="K87" s="515" t="s">
        <v>140</v>
      </c>
      <c r="L87" s="513"/>
      <c r="M87" s="512"/>
      <c r="N87" s="512"/>
    </row>
    <row r="88" spans="2:14">
      <c r="B88" s="561" t="s">
        <v>690</v>
      </c>
      <c r="C88" s="516">
        <f>C87*K6</f>
        <v>4.6828571428571431E-3</v>
      </c>
      <c r="D88" s="515"/>
      <c r="E88" s="515"/>
      <c r="F88" s="515"/>
      <c r="G88" s="515"/>
      <c r="H88" s="515"/>
      <c r="I88" s="515"/>
      <c r="J88" s="515"/>
      <c r="K88" s="515" t="s">
        <v>93</v>
      </c>
      <c r="L88" s="513"/>
      <c r="M88" s="512"/>
      <c r="N88" s="512"/>
    </row>
    <row r="89" spans="2:14">
      <c r="B89" s="560" t="s">
        <v>690</v>
      </c>
      <c r="C89" s="510">
        <f>C88*10^3</f>
        <v>4.6828571428571433</v>
      </c>
      <c r="D89" s="509"/>
      <c r="E89" s="509"/>
      <c r="F89" s="509"/>
      <c r="G89" s="509"/>
      <c r="H89" s="509"/>
      <c r="I89" s="509"/>
      <c r="J89" s="509"/>
      <c r="K89" s="509" t="s">
        <v>94</v>
      </c>
      <c r="L89" s="507"/>
      <c r="M89" s="506"/>
      <c r="N89" s="506"/>
    </row>
    <row r="90" spans="2:14">
      <c r="B90" s="517"/>
      <c r="C90" s="559"/>
      <c r="D90" s="515"/>
      <c r="E90" s="515"/>
      <c r="F90" s="515"/>
      <c r="G90" s="515"/>
      <c r="H90" s="515"/>
      <c r="I90" s="515"/>
      <c r="J90" s="515"/>
      <c r="K90" s="515"/>
      <c r="L90" s="513"/>
      <c r="M90" s="512"/>
      <c r="N90" s="512"/>
    </row>
    <row r="91" spans="2:14">
      <c r="B91" s="517" t="s">
        <v>56</v>
      </c>
      <c r="C91" s="515"/>
      <c r="D91" s="515"/>
      <c r="E91" s="515"/>
      <c r="F91" s="515"/>
      <c r="G91" s="515"/>
      <c r="H91" s="515"/>
      <c r="I91" s="515"/>
      <c r="J91" s="515"/>
      <c r="K91" s="515"/>
      <c r="L91" s="513"/>
      <c r="M91" s="512"/>
      <c r="N91" s="512"/>
    </row>
    <row r="92" spans="2:14">
      <c r="B92" s="534" t="s">
        <v>543</v>
      </c>
      <c r="C92" s="556" t="s">
        <v>57</v>
      </c>
      <c r="D92" s="556" t="str">
        <f>'Data input'!D7</f>
        <v>Rams</v>
      </c>
      <c r="E92" s="556" t="str">
        <f>'Data input'!E7</f>
        <v>Wethers</v>
      </c>
      <c r="F92" s="556" t="str">
        <f>'Data input'!F7</f>
        <v>Maiden breeding ewes</v>
      </c>
      <c r="G92" s="556" t="str">
        <f>'Data input'!G7</f>
        <v>Breeding ewes</v>
      </c>
      <c r="H92" s="556" t="str">
        <f>'Data input'!H7</f>
        <v>Other ewes</v>
      </c>
      <c r="I92" s="556" t="str">
        <f>'Data input'!I7</f>
        <v>Lambs and hoggets</v>
      </c>
      <c r="J92" s="555"/>
      <c r="K92" s="556"/>
      <c r="L92" s="557"/>
      <c r="M92" s="512"/>
      <c r="N92" s="512"/>
    </row>
    <row r="93" spans="2:14">
      <c r="B93" s="550"/>
      <c r="C93" s="556" t="s">
        <v>37</v>
      </c>
      <c r="D93" s="555">
        <f>'Nitrous Oxide_MMS'!O45</f>
        <v>3.8077723607827644E-5</v>
      </c>
      <c r="E93" s="555">
        <f>'Nitrous Oxide_MMS'!P45</f>
        <v>1.2923444490046915E-3</v>
      </c>
      <c r="F93" s="555">
        <f>'Nitrous Oxide_MMS'!Q45</f>
        <v>2.4089926953192476E-4</v>
      </c>
      <c r="G93" s="555">
        <f>'Nitrous Oxide_MMS'!R45</f>
        <v>3.2195313709432438E-4</v>
      </c>
      <c r="H93" s="555">
        <f>'Nitrous Oxide_MMS'!S45</f>
        <v>0</v>
      </c>
      <c r="I93" s="555">
        <f>'Nitrous Oxide_MMS'!T45</f>
        <v>0</v>
      </c>
      <c r="J93" s="555" t="str">
        <f>'Nitrous Oxide_MMS'!U45</f>
        <v>Gg/farm/season</v>
      </c>
      <c r="K93" s="554"/>
      <c r="L93" s="513"/>
      <c r="M93" s="512"/>
      <c r="N93" s="512"/>
    </row>
    <row r="94" spans="2:14">
      <c r="B94" s="550"/>
      <c r="C94" s="515" t="s">
        <v>39</v>
      </c>
      <c r="D94" s="555">
        <f>'Nitrous Oxide_MMS'!O46</f>
        <v>2.4583781459353927E-5</v>
      </c>
      <c r="E94" s="555">
        <f>'Nitrous Oxide_MMS'!P46</f>
        <v>8.1517772284914365E-4</v>
      </c>
      <c r="F94" s="555">
        <f>'Nitrous Oxide_MMS'!Q46</f>
        <v>1.6393751798945614E-4</v>
      </c>
      <c r="G94" s="555">
        <f>'Nitrous Oxide_MMS'!R46</f>
        <v>1.8354450621006039E-4</v>
      </c>
      <c r="H94" s="555">
        <f>'Nitrous Oxide_MMS'!S46</f>
        <v>0</v>
      </c>
      <c r="I94" s="555">
        <f>'Nitrous Oxide_MMS'!T46</f>
        <v>0</v>
      </c>
      <c r="J94" s="555" t="str">
        <f>'Nitrous Oxide_MMS'!U46</f>
        <v>Gg/farm/season</v>
      </c>
      <c r="K94" s="553"/>
      <c r="L94" s="513"/>
      <c r="M94" s="512"/>
      <c r="N94" s="512"/>
    </row>
    <row r="95" spans="2:14">
      <c r="B95" s="550"/>
      <c r="C95" s="515" t="s">
        <v>40</v>
      </c>
      <c r="D95" s="555">
        <f>'Nitrous Oxide_MMS'!O47</f>
        <v>3.1968439555278131E-5</v>
      </c>
      <c r="E95" s="555">
        <f>'Nitrous Oxide_MMS'!P47</f>
        <v>1.0181660317087856E-3</v>
      </c>
      <c r="F95" s="555">
        <f>'Nitrous Oxide_MMS'!Q47</f>
        <v>2.0761324847163481E-4</v>
      </c>
      <c r="G95" s="555">
        <f>'Nitrous Oxide_MMS'!R47</f>
        <v>2.346319855518729E-4</v>
      </c>
      <c r="H95" s="555">
        <f>'Nitrous Oxide_MMS'!S47</f>
        <v>0</v>
      </c>
      <c r="I95" s="555">
        <f>'Nitrous Oxide_MMS'!T47</f>
        <v>0</v>
      </c>
      <c r="J95" s="555" t="str">
        <f>'Nitrous Oxide_MMS'!U47</f>
        <v>Gg/farm/season</v>
      </c>
      <c r="K95" s="553"/>
      <c r="L95" s="513"/>
      <c r="M95" s="512"/>
      <c r="N95" s="512"/>
    </row>
    <row r="96" spans="2:14">
      <c r="B96" s="550"/>
      <c r="C96" s="509" t="s">
        <v>41</v>
      </c>
      <c r="D96" s="555">
        <f>'Nitrous Oxide_MMS'!O48</f>
        <v>2.4851510883766162E-5</v>
      </c>
      <c r="E96" s="555">
        <f>'Nitrous Oxide_MMS'!P48</f>
        <v>7.4782334716752238E-4</v>
      </c>
      <c r="F96" s="555">
        <f>'Nitrous Oxide_MMS'!Q48</f>
        <v>1.5980501344090454E-4</v>
      </c>
      <c r="G96" s="555">
        <f>'Nitrous Oxide_MMS'!R48</f>
        <v>2.186555574524001E-4</v>
      </c>
      <c r="H96" s="555">
        <f>'Nitrous Oxide_MMS'!S48</f>
        <v>0</v>
      </c>
      <c r="I96" s="555">
        <f>'Nitrous Oxide_MMS'!T48</f>
        <v>0</v>
      </c>
      <c r="J96" s="555" t="str">
        <f>'Nitrous Oxide_MMS'!U48</f>
        <v>Gg/farm/season</v>
      </c>
      <c r="K96" s="552"/>
      <c r="L96" s="513"/>
      <c r="M96" s="512"/>
      <c r="N96" s="512"/>
    </row>
    <row r="97" spans="2:14">
      <c r="B97" s="550"/>
      <c r="C97" s="515"/>
      <c r="D97" s="515"/>
      <c r="E97" s="515"/>
      <c r="F97" s="515"/>
      <c r="G97" s="515"/>
      <c r="H97" s="515"/>
      <c r="I97" s="515"/>
      <c r="J97" s="546">
        <f>SUM(D93:J96)</f>
        <v>5.7240332419789463E-3</v>
      </c>
      <c r="K97" s="531"/>
      <c r="L97" s="513"/>
      <c r="M97" s="512"/>
      <c r="N97" s="512"/>
    </row>
    <row r="98" spans="2:14">
      <c r="B98" s="551" t="s">
        <v>544</v>
      </c>
      <c r="C98" s="545" t="s">
        <v>57</v>
      </c>
      <c r="D98" s="545" t="str">
        <f>'Data input'!D7</f>
        <v>Rams</v>
      </c>
      <c r="E98" s="545" t="str">
        <f>'Data input'!E7</f>
        <v>Wethers</v>
      </c>
      <c r="F98" s="545" t="str">
        <f>'Data input'!F7</f>
        <v>Maiden breeding ewes</v>
      </c>
      <c r="G98" s="545" t="str">
        <f>'Data input'!G7</f>
        <v>Breeding ewes</v>
      </c>
      <c r="H98" s="545" t="str">
        <f>'Data input'!H7</f>
        <v>Other ewes</v>
      </c>
      <c r="I98" s="545" t="str">
        <f>'Data input'!I7</f>
        <v>Lambs and hoggets</v>
      </c>
      <c r="J98" s="545" t="str">
        <f>'Data input'!J7</f>
        <v>Units</v>
      </c>
      <c r="K98" s="545"/>
      <c r="L98" s="513"/>
      <c r="M98" s="512"/>
      <c r="N98" s="512"/>
    </row>
    <row r="99" spans="2:14">
      <c r="B99" s="550"/>
      <c r="C99" s="515" t="s">
        <v>37</v>
      </c>
      <c r="D99" s="549">
        <f>'Nitrous Oxide_MMS'!O51</f>
        <v>1.3444216676830638E-4</v>
      </c>
      <c r="E99" s="549">
        <f>'Nitrous Oxide_MMS'!P51</f>
        <v>4.3595968796800288E-3</v>
      </c>
      <c r="F99" s="549">
        <f>'Nitrous Oxide_MMS'!Q51</f>
        <v>8.4089555036596572E-4</v>
      </c>
      <c r="G99" s="549">
        <f>'Nitrous Oxide_MMS'!R51</f>
        <v>7.4847184868506126E-4</v>
      </c>
      <c r="H99" s="549">
        <f>'Nitrous Oxide_MMS'!S51</f>
        <v>0</v>
      </c>
      <c r="I99" s="549">
        <f>'Nitrous Oxide_MMS'!T51</f>
        <v>0</v>
      </c>
      <c r="J99" s="549" t="str">
        <f>'Nitrous Oxide_MMS'!U51</f>
        <v>Gg/farm/season</v>
      </c>
      <c r="K99" s="549"/>
      <c r="L99" s="513"/>
      <c r="M99" s="512"/>
      <c r="N99" s="512"/>
    </row>
    <row r="100" spans="2:14">
      <c r="B100" s="550"/>
      <c r="C100" s="515" t="s">
        <v>39</v>
      </c>
      <c r="D100" s="549">
        <f>'Nitrous Oxide_MMS'!O52</f>
        <v>2.9628995678504934E-5</v>
      </c>
      <c r="E100" s="549">
        <f>'Nitrous Oxide_MMS'!P52</f>
        <v>9.2905721961620614E-4</v>
      </c>
      <c r="F100" s="549">
        <f>'Nitrous Oxide_MMS'!Q52</f>
        <v>1.6755759910687211E-4</v>
      </c>
      <c r="G100" s="549">
        <f>'Nitrous Oxide_MMS'!R52</f>
        <v>1.9513237384605035E-4</v>
      </c>
      <c r="H100" s="549">
        <f>'Nitrous Oxide_MMS'!S52</f>
        <v>0</v>
      </c>
      <c r="I100" s="549">
        <f>'Nitrous Oxide_MMS'!T52</f>
        <v>0</v>
      </c>
      <c r="J100" s="549" t="str">
        <f>'Nitrous Oxide_MMS'!U52</f>
        <v>Gg/farm/season</v>
      </c>
      <c r="K100" s="531"/>
      <c r="L100" s="513"/>
      <c r="M100" s="512"/>
      <c r="N100" s="512"/>
    </row>
    <row r="101" spans="2:14">
      <c r="B101" s="550"/>
      <c r="C101" s="515" t="s">
        <v>40</v>
      </c>
      <c r="D101" s="549">
        <f>'Nitrous Oxide_MMS'!O53</f>
        <v>8.7033899182957833E-5</v>
      </c>
      <c r="E101" s="549">
        <f>'Nitrous Oxide_MMS'!P53</f>
        <v>2.7549085635115572E-3</v>
      </c>
      <c r="F101" s="549">
        <f>'Nitrous Oxide_MMS'!Q53</f>
        <v>5.6215315777696057E-4</v>
      </c>
      <c r="G101" s="549">
        <f>'Nitrous Oxide_MMS'!R53</f>
        <v>6.4159555978461082E-4</v>
      </c>
      <c r="H101" s="549">
        <f>'Nitrous Oxide_MMS'!S53</f>
        <v>0</v>
      </c>
      <c r="I101" s="549">
        <f>'Nitrous Oxide_MMS'!T53</f>
        <v>0</v>
      </c>
      <c r="J101" s="549" t="str">
        <f>'Nitrous Oxide_MMS'!U53</f>
        <v>Gg/farm/season</v>
      </c>
      <c r="K101" s="531"/>
      <c r="L101" s="513"/>
      <c r="M101" s="512"/>
      <c r="N101" s="512"/>
    </row>
    <row r="102" spans="2:14">
      <c r="B102" s="548"/>
      <c r="C102" s="509" t="s">
        <v>41</v>
      </c>
      <c r="D102" s="547">
        <f>'Nitrous Oxide_MMS'!O54</f>
        <v>4.6700473308061455E-5</v>
      </c>
      <c r="E102" s="547">
        <f>'Nitrous Oxide_MMS'!P54</f>
        <v>1.3542929888059839E-3</v>
      </c>
      <c r="F102" s="547">
        <f>'Nitrous Oxide_MMS'!Q54</f>
        <v>2.8591623720024403E-4</v>
      </c>
      <c r="G102" s="547">
        <f>'Nitrous Oxide_MMS'!R54</f>
        <v>2.9614976773188664E-4</v>
      </c>
      <c r="H102" s="547">
        <f>'Nitrous Oxide_MMS'!S54</f>
        <v>0</v>
      </c>
      <c r="I102" s="547">
        <f>'Nitrous Oxide_MMS'!T54</f>
        <v>0</v>
      </c>
      <c r="J102" s="509" t="str">
        <f>'Nitrous Oxide_MMS'!U54</f>
        <v>Gg/farm/season</v>
      </c>
      <c r="K102" s="529"/>
      <c r="L102" s="513"/>
      <c r="M102" s="512"/>
      <c r="N102" s="512"/>
    </row>
    <row r="103" spans="2:14" ht="14.1" customHeight="1">
      <c r="B103" s="515"/>
      <c r="C103" s="515"/>
      <c r="D103" s="515"/>
      <c r="E103" s="515"/>
      <c r="F103" s="515"/>
      <c r="G103" s="515"/>
      <c r="H103" s="515"/>
      <c r="I103" s="515"/>
      <c r="J103" s="546"/>
      <c r="K103" s="515"/>
      <c r="L103" s="513"/>
      <c r="M103" s="512"/>
      <c r="N103" s="512"/>
    </row>
    <row r="104" spans="2:14">
      <c r="B104" s="517" t="s">
        <v>689</v>
      </c>
      <c r="C104" s="515"/>
      <c r="D104" s="517" t="s">
        <v>688</v>
      </c>
      <c r="E104" s="515"/>
      <c r="F104" s="515"/>
      <c r="G104" s="515"/>
      <c r="H104" s="515"/>
      <c r="I104" s="515"/>
      <c r="J104" s="546"/>
      <c r="K104" s="515"/>
      <c r="L104" s="513" t="s">
        <v>164</v>
      </c>
      <c r="M104" s="513" t="s">
        <v>545</v>
      </c>
      <c r="N104" s="513" t="s">
        <v>523</v>
      </c>
    </row>
    <row r="105" spans="2:14">
      <c r="B105" s="515"/>
      <c r="C105" s="515"/>
      <c r="D105" s="515"/>
      <c r="E105" s="515"/>
      <c r="F105" s="515"/>
      <c r="G105" s="515"/>
      <c r="H105" s="515"/>
      <c r="I105" s="515"/>
      <c r="J105" s="515"/>
      <c r="K105" s="515"/>
      <c r="L105" s="513"/>
      <c r="M105" s="512"/>
      <c r="N105" s="512"/>
    </row>
    <row r="106" spans="2:14">
      <c r="B106" s="517" t="s">
        <v>687</v>
      </c>
      <c r="C106" s="545" t="s">
        <v>57</v>
      </c>
      <c r="D106" s="545" t="str">
        <f>D98</f>
        <v>Rams</v>
      </c>
      <c r="E106" s="545" t="str">
        <f>E98</f>
        <v>Wethers</v>
      </c>
      <c r="F106" s="545" t="str">
        <f>F98</f>
        <v>Maiden breeding ewes</v>
      </c>
      <c r="G106" s="545" t="str">
        <f>G98</f>
        <v>Breeding ewes</v>
      </c>
      <c r="H106" s="545" t="str">
        <f>H98</f>
        <v>Other ewes</v>
      </c>
      <c r="I106" s="545" t="str">
        <f>I98</f>
        <v>Lambs and hoggets</v>
      </c>
      <c r="J106" s="545" t="str">
        <f>J98</f>
        <v>Units</v>
      </c>
      <c r="K106" s="545"/>
      <c r="L106" s="513"/>
      <c r="M106" s="513"/>
      <c r="N106" s="513"/>
    </row>
    <row r="107" spans="2:14">
      <c r="B107" s="515"/>
      <c r="C107" s="536" t="s">
        <v>37</v>
      </c>
      <c r="D107" s="544">
        <f>(D93*$D$11*$K$5)+(D99*$D$11*$K$5)</f>
        <v>1.0844107395071282E-6</v>
      </c>
      <c r="E107" s="544">
        <f>(E93*$D$11*$K$5)+(E99*$D$11*$K$5)</f>
        <v>3.5526488351732525E-5</v>
      </c>
      <c r="F107" s="544">
        <f>(F93*$D$11*$K$5)+(F99*$D$11*$K$5)</f>
        <v>6.7998531536438828E-6</v>
      </c>
      <c r="G107" s="544">
        <f>(G93*$D$11*$K$5)+(G99*$D$11*$K$5)</f>
        <v>6.7283856248989952E-6</v>
      </c>
      <c r="H107" s="544">
        <f>(H93*$D$11*$K$5)+(H99*$D$11*$K$5)</f>
        <v>0</v>
      </c>
      <c r="I107" s="544">
        <f>(I93*$D$11*$K$5)+(I99*$D$11*$K$5)</f>
        <v>0</v>
      </c>
      <c r="J107" s="544" t="str">
        <f>J99</f>
        <v>Gg/farm/season</v>
      </c>
      <c r="K107" s="536"/>
      <c r="L107" s="513"/>
      <c r="M107" s="512"/>
      <c r="N107" s="512"/>
    </row>
    <row r="108" spans="2:14">
      <c r="B108" s="517"/>
      <c r="C108" s="536" t="s">
        <v>39</v>
      </c>
      <c r="D108" s="544">
        <f>(D94*$D$11*$K$5)+(D100*$D$11*$K$5)</f>
        <v>3.4076602772368429E-7</v>
      </c>
      <c r="E108" s="544">
        <f>(E94*$D$11*$K$5)+(E100*$D$11*$K$5)</f>
        <v>1.0963762495496484E-5</v>
      </c>
      <c r="F108" s="544">
        <f>(F94*$D$11*$K$5)+(F100*$D$11*$K$5)</f>
        <v>2.0836835931769199E-6</v>
      </c>
      <c r="G108" s="544">
        <f>(G94*$D$11*$K$5)+(G100*$D$11*$K$5)</f>
        <v>2.38025467463841E-6</v>
      </c>
      <c r="H108" s="544">
        <f>(H94*$D$11*$K$5)+(H100*$D$11*$K$5)</f>
        <v>0</v>
      </c>
      <c r="I108" s="544">
        <f>(I94*$D$11*$K$5)+(I100*$D$11*$K$5)</f>
        <v>0</v>
      </c>
      <c r="J108" s="544" t="str">
        <f>J100</f>
        <v>Gg/farm/season</v>
      </c>
      <c r="K108" s="536"/>
      <c r="L108" s="513"/>
      <c r="M108" s="512"/>
      <c r="N108" s="512"/>
    </row>
    <row r="109" spans="2:14">
      <c r="B109" s="515"/>
      <c r="C109" s="536" t="s">
        <v>40</v>
      </c>
      <c r="D109" s="544">
        <f>(D95*$D$11*$K$5)+(D101*$D$11*$K$5)</f>
        <v>7.4801470064034033E-7</v>
      </c>
      <c r="E109" s="544">
        <f>(E95*$D$11*$K$5)+(E101*$D$11*$K$5)</f>
        <v>2.3716468884242157E-5</v>
      </c>
      <c r="F109" s="544">
        <f>(F95*$D$11*$K$5)+(F101*$D$11*$K$5)</f>
        <v>4.8385316964197422E-6</v>
      </c>
      <c r="G109" s="544">
        <f>(G95*$D$11*$K$5)+(G101*$D$11*$K$5)</f>
        <v>5.5077159992578977E-6</v>
      </c>
      <c r="H109" s="544">
        <f>(H95*$D$11*$K$5)+(H101*$D$11*$K$5)</f>
        <v>0</v>
      </c>
      <c r="I109" s="544">
        <f>(I95*$D$11*$K$5)+(I101*$D$11*$K$5)</f>
        <v>0</v>
      </c>
      <c r="J109" s="544" t="str">
        <f>J101</f>
        <v>Gg/farm/season</v>
      </c>
      <c r="K109" s="536"/>
      <c r="L109" s="513"/>
      <c r="M109" s="512"/>
      <c r="N109" s="512"/>
    </row>
    <row r="110" spans="2:14">
      <c r="B110" s="515"/>
      <c r="C110" s="537" t="s">
        <v>41</v>
      </c>
      <c r="D110" s="543">
        <f>(D96*$D$11*$K$5)+(D102*$D$11*$K$5)</f>
        <v>4.497553292057736E-7</v>
      </c>
      <c r="E110" s="543">
        <f>(E96*$D$11*$K$5)+(E102*$D$11*$K$5)</f>
        <v>1.3213302683262041E-5</v>
      </c>
      <c r="F110" s="543">
        <f>(F96*$D$11*$K$5)+(F102*$D$11*$K$5)</f>
        <v>2.801676432601505E-6</v>
      </c>
      <c r="G110" s="543">
        <f>(G96*$D$11*$K$5)+(G102*$D$11*$K$5)</f>
        <v>3.2359191868726597E-6</v>
      </c>
      <c r="H110" s="543">
        <f>(H96*$D$11*$K$5)+(H102*$D$11*$K$5)</f>
        <v>0</v>
      </c>
      <c r="I110" s="543">
        <f>(I96*$D$11*$K$5)+(I102*$D$11*$K$5)</f>
        <v>0</v>
      </c>
      <c r="J110" s="544" t="str">
        <f>J102</f>
        <v>Gg/farm/season</v>
      </c>
      <c r="K110" s="537"/>
      <c r="L110" s="513"/>
      <c r="M110" s="512"/>
      <c r="N110" s="512"/>
    </row>
    <row r="111" spans="2:14">
      <c r="B111" s="517"/>
      <c r="C111" s="515"/>
      <c r="D111" s="515"/>
      <c r="E111" s="515"/>
      <c r="F111" s="515"/>
      <c r="G111" s="515"/>
      <c r="H111" s="515"/>
      <c r="I111" s="515"/>
      <c r="J111" s="515"/>
      <c r="K111" s="515"/>
      <c r="L111" s="513"/>
      <c r="M111" s="512"/>
      <c r="N111" s="512"/>
    </row>
    <row r="112" spans="2:14">
      <c r="B112" s="517" t="s">
        <v>686</v>
      </c>
      <c r="C112" s="518">
        <f>SUM(D107:I110)</f>
        <v>1.2041898957332015E-4</v>
      </c>
      <c r="D112" s="515"/>
      <c r="E112" s="515"/>
      <c r="F112" s="515"/>
      <c r="G112" s="515"/>
      <c r="H112" s="515"/>
      <c r="I112" s="515"/>
      <c r="J112" s="515"/>
      <c r="K112" s="514" t="s">
        <v>140</v>
      </c>
      <c r="L112" s="513"/>
      <c r="M112" s="512"/>
      <c r="N112" s="512"/>
    </row>
    <row r="113" spans="2:14">
      <c r="B113" s="517" t="s">
        <v>686</v>
      </c>
      <c r="C113" s="516">
        <f>C112*K6</f>
        <v>3.5884858892849404E-2</v>
      </c>
      <c r="D113" s="515"/>
      <c r="E113" s="515"/>
      <c r="F113" s="515"/>
      <c r="G113" s="515"/>
      <c r="H113" s="515"/>
      <c r="I113" s="515"/>
      <c r="J113" s="515"/>
      <c r="K113" s="514" t="s">
        <v>93</v>
      </c>
      <c r="L113" s="513"/>
      <c r="M113" s="512"/>
      <c r="N113" s="512"/>
    </row>
    <row r="114" spans="2:14">
      <c r="B114" s="511" t="s">
        <v>686</v>
      </c>
      <c r="C114" s="510">
        <f>C113*10^3</f>
        <v>35.884858892849401</v>
      </c>
      <c r="D114" s="509"/>
      <c r="E114" s="509"/>
      <c r="F114" s="509"/>
      <c r="G114" s="509"/>
      <c r="H114" s="509"/>
      <c r="I114" s="509"/>
      <c r="J114" s="509"/>
      <c r="K114" s="508" t="s">
        <v>94</v>
      </c>
      <c r="L114" s="513"/>
      <c r="M114" s="512"/>
      <c r="N114" s="512"/>
    </row>
    <row r="115" spans="2:14">
      <c r="B115" s="515"/>
      <c r="C115" s="535"/>
      <c r="D115" s="515"/>
      <c r="E115" s="515"/>
      <c r="F115" s="515"/>
      <c r="G115" s="515"/>
      <c r="H115" s="515"/>
      <c r="I115" s="515"/>
      <c r="J115" s="515"/>
      <c r="K115" s="515"/>
      <c r="L115" s="513"/>
      <c r="M115" s="512"/>
      <c r="N115" s="512"/>
    </row>
    <row r="116" spans="2:14">
      <c r="B116" s="517" t="s">
        <v>547</v>
      </c>
      <c r="C116" s="515"/>
      <c r="D116" s="517" t="s">
        <v>165</v>
      </c>
      <c r="E116" s="515"/>
      <c r="F116" s="515"/>
      <c r="G116" s="515"/>
      <c r="H116" s="515"/>
      <c r="I116" s="515"/>
      <c r="J116" s="515"/>
      <c r="K116" s="515"/>
      <c r="L116" s="513" t="s">
        <v>166</v>
      </c>
      <c r="M116" s="513" t="s">
        <v>548</v>
      </c>
      <c r="N116" s="513" t="s">
        <v>523</v>
      </c>
    </row>
    <row r="117" spans="2:14">
      <c r="B117" s="515"/>
      <c r="C117" s="535"/>
      <c r="D117" s="515"/>
      <c r="E117" s="515"/>
      <c r="F117" s="515"/>
      <c r="G117" s="515"/>
      <c r="H117" s="515"/>
      <c r="I117" s="515"/>
      <c r="J117" s="515"/>
      <c r="K117" s="515"/>
      <c r="L117" s="513"/>
      <c r="M117" s="512"/>
      <c r="N117" s="512"/>
    </row>
    <row r="118" spans="2:14">
      <c r="B118" s="511"/>
      <c r="C118" s="539"/>
      <c r="D118" s="525" t="s">
        <v>533</v>
      </c>
      <c r="E118" s="526"/>
      <c r="F118" s="525" t="s">
        <v>198</v>
      </c>
      <c r="G118" s="509"/>
      <c r="H118" s="509"/>
      <c r="I118" s="509"/>
      <c r="J118" s="509"/>
      <c r="K118" s="509"/>
      <c r="L118" s="513"/>
      <c r="M118" s="512"/>
      <c r="N118" s="512"/>
    </row>
    <row r="119" spans="2:14">
      <c r="B119" s="517" t="s">
        <v>151</v>
      </c>
      <c r="C119" s="515" t="s">
        <v>37</v>
      </c>
      <c r="D119" s="518">
        <f>D41*$K$10</f>
        <v>0</v>
      </c>
      <c r="E119" s="515"/>
      <c r="F119" s="518">
        <f>F41*$K$10</f>
        <v>0</v>
      </c>
      <c r="G119" s="515"/>
      <c r="H119" s="515"/>
      <c r="I119" s="515"/>
      <c r="J119" s="515"/>
      <c r="K119" s="515" t="s">
        <v>152</v>
      </c>
      <c r="L119" s="513"/>
      <c r="M119" s="512"/>
      <c r="N119" s="512"/>
    </row>
    <row r="120" spans="2:14">
      <c r="B120" s="517"/>
      <c r="C120" s="515" t="s">
        <v>39</v>
      </c>
      <c r="D120" s="518">
        <f>D42*$K$10</f>
        <v>0</v>
      </c>
      <c r="E120" s="515"/>
      <c r="F120" s="518">
        <f>F42*$K$10</f>
        <v>0</v>
      </c>
      <c r="G120" s="515"/>
      <c r="H120" s="515"/>
      <c r="I120" s="515"/>
      <c r="J120" s="515"/>
      <c r="K120" s="515" t="s">
        <v>152</v>
      </c>
      <c r="L120" s="513"/>
      <c r="M120" s="512"/>
      <c r="N120" s="512"/>
    </row>
    <row r="121" spans="2:14">
      <c r="B121" s="517"/>
      <c r="C121" s="515" t="s">
        <v>40</v>
      </c>
      <c r="D121" s="518">
        <f>D43*$K$10</f>
        <v>0</v>
      </c>
      <c r="E121" s="515"/>
      <c r="F121" s="518">
        <f>F43*$K$10</f>
        <v>0</v>
      </c>
      <c r="G121" s="515"/>
      <c r="H121" s="515"/>
      <c r="I121" s="515"/>
      <c r="J121" s="515"/>
      <c r="K121" s="515" t="s">
        <v>152</v>
      </c>
      <c r="L121" s="513"/>
      <c r="M121" s="512"/>
      <c r="N121" s="512"/>
    </row>
    <row r="122" spans="2:14">
      <c r="B122" s="511"/>
      <c r="C122" s="509" t="s">
        <v>41</v>
      </c>
      <c r="D122" s="521">
        <f>D44*$K$10</f>
        <v>0</v>
      </c>
      <c r="E122" s="509"/>
      <c r="F122" s="521">
        <f>F44*$K$10</f>
        <v>0</v>
      </c>
      <c r="G122" s="509"/>
      <c r="H122" s="509"/>
      <c r="I122" s="509"/>
      <c r="J122" s="509"/>
      <c r="K122" s="509" t="s">
        <v>152</v>
      </c>
      <c r="L122" s="513"/>
      <c r="M122" s="512"/>
      <c r="N122" s="512"/>
    </row>
    <row r="123" spans="2:14">
      <c r="B123" s="517" t="s">
        <v>153</v>
      </c>
      <c r="C123" s="515" t="s">
        <v>37</v>
      </c>
      <c r="D123" s="518">
        <f>D45*$K$10</f>
        <v>5.0000000000000001E-4</v>
      </c>
      <c r="E123" s="515"/>
      <c r="F123" s="518">
        <f>F45*$K$10</f>
        <v>0</v>
      </c>
      <c r="G123" s="515"/>
      <c r="H123" s="515"/>
      <c r="I123" s="515"/>
      <c r="J123" s="515"/>
      <c r="K123" s="515" t="s">
        <v>152</v>
      </c>
      <c r="L123" s="513"/>
      <c r="M123" s="512"/>
      <c r="N123" s="512"/>
    </row>
    <row r="124" spans="2:14">
      <c r="B124" s="517"/>
      <c r="C124" s="515" t="s">
        <v>39</v>
      </c>
      <c r="D124" s="518">
        <f>D46*$K$10</f>
        <v>0</v>
      </c>
      <c r="E124" s="515"/>
      <c r="F124" s="518">
        <f>F46*$K$10</f>
        <v>0</v>
      </c>
      <c r="G124" s="515"/>
      <c r="H124" s="515"/>
      <c r="I124" s="515"/>
      <c r="J124" s="515"/>
      <c r="K124" s="515" t="s">
        <v>152</v>
      </c>
      <c r="L124" s="513"/>
      <c r="M124" s="512"/>
      <c r="N124" s="512"/>
    </row>
    <row r="125" spans="2:14">
      <c r="B125" s="515"/>
      <c r="C125" s="515" t="s">
        <v>40</v>
      </c>
      <c r="D125" s="518">
        <f>D47*$K$10</f>
        <v>0</v>
      </c>
      <c r="E125" s="515"/>
      <c r="F125" s="518">
        <f>F47*$K$10</f>
        <v>0</v>
      </c>
      <c r="G125" s="515"/>
      <c r="H125" s="515"/>
      <c r="I125" s="515"/>
      <c r="J125" s="515"/>
      <c r="K125" s="515" t="s">
        <v>152</v>
      </c>
      <c r="L125" s="513"/>
      <c r="M125" s="512"/>
      <c r="N125" s="512"/>
    </row>
    <row r="126" spans="2:14">
      <c r="B126" s="509"/>
      <c r="C126" s="509" t="s">
        <v>41</v>
      </c>
      <c r="D126" s="521">
        <f>D48*$K$10</f>
        <v>0</v>
      </c>
      <c r="E126" s="509"/>
      <c r="F126" s="521">
        <f>F48*$K$10</f>
        <v>0</v>
      </c>
      <c r="G126" s="509"/>
      <c r="H126" s="509"/>
      <c r="I126" s="509"/>
      <c r="J126" s="509"/>
      <c r="K126" s="509" t="s">
        <v>152</v>
      </c>
      <c r="L126" s="513"/>
      <c r="M126" s="512"/>
      <c r="N126" s="512"/>
    </row>
    <row r="127" spans="2:14">
      <c r="B127" s="515"/>
      <c r="C127" s="535"/>
      <c r="D127" s="515"/>
      <c r="E127" s="515"/>
      <c r="F127" s="515"/>
      <c r="G127" s="515"/>
      <c r="H127" s="515"/>
      <c r="I127" s="515"/>
      <c r="J127" s="515"/>
      <c r="K127" s="515"/>
      <c r="L127" s="513"/>
      <c r="M127" s="512"/>
      <c r="N127" s="512"/>
    </row>
    <row r="128" spans="2:14">
      <c r="B128" s="517" t="s">
        <v>550</v>
      </c>
      <c r="C128" s="535"/>
      <c r="D128" s="517" t="s">
        <v>685</v>
      </c>
      <c r="E128" s="515"/>
      <c r="F128" s="515"/>
      <c r="G128" s="515"/>
      <c r="H128" s="515"/>
      <c r="I128" s="515"/>
      <c r="J128" s="515"/>
      <c r="K128" s="515"/>
      <c r="L128" s="513" t="s">
        <v>622</v>
      </c>
      <c r="M128" s="513" t="s">
        <v>551</v>
      </c>
      <c r="N128" s="513" t="s">
        <v>546</v>
      </c>
    </row>
    <row r="129" spans="2:14">
      <c r="B129" s="515"/>
      <c r="C129" s="535"/>
      <c r="D129" s="515"/>
      <c r="E129" s="515"/>
      <c r="F129" s="515"/>
      <c r="G129" s="515"/>
      <c r="H129" s="515"/>
      <c r="I129" s="515"/>
      <c r="J129" s="515"/>
      <c r="K129" s="515"/>
      <c r="L129" s="513"/>
      <c r="M129" s="512"/>
      <c r="N129" s="512"/>
    </row>
    <row r="130" spans="2:14">
      <c r="B130" s="509"/>
      <c r="C130" s="539"/>
      <c r="D130" s="525" t="s">
        <v>533</v>
      </c>
      <c r="E130" s="526"/>
      <c r="F130" s="525" t="s">
        <v>198</v>
      </c>
      <c r="G130" s="509"/>
      <c r="H130" s="509"/>
      <c r="I130" s="509"/>
      <c r="J130" s="509"/>
      <c r="K130" s="509"/>
      <c r="L130" s="513"/>
      <c r="M130" s="512"/>
      <c r="N130" s="512"/>
    </row>
    <row r="131" spans="2:14">
      <c r="B131" s="515" t="s">
        <v>151</v>
      </c>
      <c r="C131" s="515" t="s">
        <v>37</v>
      </c>
      <c r="D131" s="518">
        <f>D57*$K$11</f>
        <v>0</v>
      </c>
      <c r="E131" s="515"/>
      <c r="F131" s="518">
        <f>F57*$K$11</f>
        <v>0</v>
      </c>
      <c r="G131" s="515"/>
      <c r="H131" s="515"/>
      <c r="I131" s="515"/>
      <c r="J131" s="515"/>
      <c r="K131" s="515" t="s">
        <v>152</v>
      </c>
      <c r="L131" s="513"/>
      <c r="M131" s="512"/>
      <c r="N131" s="512"/>
    </row>
    <row r="132" spans="2:14">
      <c r="B132" s="515"/>
      <c r="C132" s="515" t="s">
        <v>39</v>
      </c>
      <c r="D132" s="518">
        <f>D58*$K$11</f>
        <v>0</v>
      </c>
      <c r="E132" s="515"/>
      <c r="F132" s="518">
        <f>F58*$K$11</f>
        <v>0</v>
      </c>
      <c r="G132" s="515"/>
      <c r="H132" s="515"/>
      <c r="I132" s="515"/>
      <c r="J132" s="515"/>
      <c r="K132" s="515" t="s">
        <v>152</v>
      </c>
      <c r="L132" s="513"/>
      <c r="M132" s="512"/>
      <c r="N132" s="512"/>
    </row>
    <row r="133" spans="2:14">
      <c r="B133" s="515"/>
      <c r="C133" s="515" t="s">
        <v>40</v>
      </c>
      <c r="D133" s="518">
        <f>D59*$K$11</f>
        <v>0</v>
      </c>
      <c r="E133" s="515"/>
      <c r="F133" s="518">
        <f>F59*$K$11</f>
        <v>0</v>
      </c>
      <c r="G133" s="515"/>
      <c r="H133" s="515"/>
      <c r="I133" s="515"/>
      <c r="J133" s="515"/>
      <c r="K133" s="515" t="s">
        <v>152</v>
      </c>
      <c r="L133" s="513"/>
      <c r="M133" s="512"/>
      <c r="N133" s="512"/>
    </row>
    <row r="134" spans="2:14">
      <c r="B134" s="509"/>
      <c r="C134" s="509" t="s">
        <v>41</v>
      </c>
      <c r="D134" s="521">
        <f>D60*$K$11</f>
        <v>0</v>
      </c>
      <c r="E134" s="509"/>
      <c r="F134" s="521">
        <f>F60*$K$11</f>
        <v>0</v>
      </c>
      <c r="G134" s="509"/>
      <c r="H134" s="509"/>
      <c r="I134" s="509"/>
      <c r="J134" s="509"/>
      <c r="K134" s="509" t="s">
        <v>152</v>
      </c>
      <c r="L134" s="513"/>
      <c r="M134" s="512"/>
      <c r="N134" s="512"/>
    </row>
    <row r="135" spans="2:14">
      <c r="B135" s="515" t="s">
        <v>153</v>
      </c>
      <c r="C135" s="515" t="s">
        <v>37</v>
      </c>
      <c r="D135" s="518">
        <f>D61*$K$11</f>
        <v>0</v>
      </c>
      <c r="E135" s="515"/>
      <c r="F135" s="518">
        <f>F61*$K$11</f>
        <v>0</v>
      </c>
      <c r="G135" s="515"/>
      <c r="H135" s="515"/>
      <c r="I135" s="515"/>
      <c r="J135" s="515"/>
      <c r="K135" s="515" t="s">
        <v>152</v>
      </c>
      <c r="L135" s="513"/>
      <c r="M135" s="512"/>
      <c r="N135" s="512"/>
    </row>
    <row r="136" spans="2:14">
      <c r="B136" s="515"/>
      <c r="C136" s="515" t="s">
        <v>39</v>
      </c>
      <c r="D136" s="518">
        <f>D62*$K$11</f>
        <v>0</v>
      </c>
      <c r="E136" s="515"/>
      <c r="F136" s="518">
        <f>F62*$K$11</f>
        <v>0</v>
      </c>
      <c r="G136" s="515"/>
      <c r="H136" s="515"/>
      <c r="I136" s="515"/>
      <c r="J136" s="515"/>
      <c r="K136" s="515" t="s">
        <v>152</v>
      </c>
      <c r="L136" s="513"/>
      <c r="M136" s="512"/>
      <c r="N136" s="512"/>
    </row>
    <row r="137" spans="2:14">
      <c r="B137" s="515"/>
      <c r="C137" s="515" t="s">
        <v>40</v>
      </c>
      <c r="D137" s="518">
        <f>D63*$K$11</f>
        <v>0</v>
      </c>
      <c r="E137" s="515"/>
      <c r="F137" s="518">
        <f>F63*$K$11</f>
        <v>0</v>
      </c>
      <c r="G137" s="515"/>
      <c r="H137" s="515"/>
      <c r="I137" s="515"/>
      <c r="J137" s="515"/>
      <c r="K137" s="515" t="s">
        <v>152</v>
      </c>
      <c r="L137" s="513"/>
      <c r="M137" s="512"/>
      <c r="N137" s="512"/>
    </row>
    <row r="138" spans="2:14">
      <c r="B138" s="509"/>
      <c r="C138" s="509" t="s">
        <v>41</v>
      </c>
      <c r="D138" s="521">
        <f>D64*$K$11</f>
        <v>0</v>
      </c>
      <c r="E138" s="509"/>
      <c r="F138" s="521">
        <f>F64*$K$11</f>
        <v>0</v>
      </c>
      <c r="G138" s="509"/>
      <c r="H138" s="509"/>
      <c r="I138" s="509"/>
      <c r="J138" s="509"/>
      <c r="K138" s="509" t="s">
        <v>152</v>
      </c>
      <c r="L138" s="513"/>
      <c r="M138" s="512"/>
      <c r="N138" s="512"/>
    </row>
    <row r="139" spans="2:14">
      <c r="B139" s="517" t="s">
        <v>684</v>
      </c>
      <c r="C139" s="535"/>
      <c r="D139" s="542" t="s">
        <v>683</v>
      </c>
      <c r="E139" s="515"/>
      <c r="F139" s="515"/>
      <c r="G139" s="515"/>
      <c r="H139" s="515"/>
      <c r="I139" s="515"/>
      <c r="J139" s="515"/>
      <c r="K139" s="515"/>
      <c r="L139" s="513" t="s">
        <v>622</v>
      </c>
      <c r="M139" s="513" t="s">
        <v>551</v>
      </c>
      <c r="N139" s="513" t="s">
        <v>546</v>
      </c>
    </row>
    <row r="140" spans="2:14">
      <c r="B140" s="515"/>
      <c r="C140" s="535"/>
      <c r="D140" s="541" t="s">
        <v>682</v>
      </c>
      <c r="E140" s="540">
        <v>0.2</v>
      </c>
      <c r="F140" s="515"/>
      <c r="G140" s="515"/>
      <c r="H140" s="515"/>
      <c r="I140" s="515"/>
      <c r="J140" s="515"/>
      <c r="K140" s="515"/>
      <c r="L140" s="513"/>
      <c r="M140" s="512"/>
      <c r="N140" s="512"/>
    </row>
    <row r="141" spans="2:14">
      <c r="B141" s="509"/>
      <c r="C141" s="539"/>
      <c r="D141" s="525"/>
      <c r="E141" s="526"/>
      <c r="F141" s="525"/>
      <c r="G141" s="509"/>
      <c r="H141" s="509"/>
      <c r="I141" s="509"/>
      <c r="J141" s="509"/>
      <c r="K141" s="509"/>
      <c r="L141" s="513"/>
      <c r="M141" s="512"/>
      <c r="N141" s="512"/>
    </row>
    <row r="142" spans="2:14">
      <c r="B142" s="515"/>
      <c r="C142" s="515" t="s">
        <v>37</v>
      </c>
      <c r="D142" s="518">
        <f>((SUM(D93:I93)+SUM(D99:I99))*$E$140)</f>
        <v>1.5953362049476259E-3</v>
      </c>
      <c r="E142" s="515"/>
      <c r="F142" s="518"/>
      <c r="G142" s="515"/>
      <c r="H142" s="515"/>
      <c r="I142" s="515"/>
      <c r="J142" s="515"/>
      <c r="K142" s="515" t="s">
        <v>152</v>
      </c>
      <c r="L142" s="513"/>
      <c r="M142" s="512"/>
      <c r="N142" s="512"/>
    </row>
    <row r="143" spans="2:14">
      <c r="B143" s="515"/>
      <c r="C143" s="515" t="s">
        <v>39</v>
      </c>
      <c r="D143" s="518">
        <f>((SUM(D94:I94)+SUM(D100:I100))*$E$140)</f>
        <v>5.0172394335112956E-4</v>
      </c>
      <c r="E143" s="515"/>
      <c r="F143" s="518"/>
      <c r="G143" s="515"/>
      <c r="H143" s="515"/>
      <c r="I143" s="515"/>
      <c r="J143" s="515"/>
      <c r="K143" s="515" t="s">
        <v>152</v>
      </c>
      <c r="L143" s="513"/>
      <c r="M143" s="512"/>
      <c r="N143" s="512"/>
    </row>
    <row r="144" spans="2:14">
      <c r="B144" s="515"/>
      <c r="C144" s="515" t="s">
        <v>40</v>
      </c>
      <c r="D144" s="518">
        <f>((SUM(D95:I95)+SUM(D101:I101))*$E$140)</f>
        <v>1.1076141771087318E-3</v>
      </c>
      <c r="E144" s="515"/>
      <c r="F144" s="518"/>
      <c r="G144" s="515"/>
      <c r="H144" s="515"/>
      <c r="I144" s="515"/>
      <c r="J144" s="515"/>
      <c r="K144" s="515" t="s">
        <v>152</v>
      </c>
      <c r="L144" s="513"/>
      <c r="M144" s="512"/>
      <c r="N144" s="512"/>
    </row>
    <row r="145" spans="2:14">
      <c r="B145" s="509"/>
      <c r="C145" s="509" t="s">
        <v>41</v>
      </c>
      <c r="D145" s="518">
        <f>((SUM(D96:I96)+SUM(D102:I102))*$E$140)</f>
        <v>6.2683897919815377E-4</v>
      </c>
      <c r="E145" s="509"/>
      <c r="F145" s="521"/>
      <c r="G145" s="509"/>
      <c r="H145" s="509"/>
      <c r="I145" s="509"/>
      <c r="J145" s="509"/>
      <c r="K145" s="509" t="s">
        <v>152</v>
      </c>
      <c r="L145" s="513"/>
      <c r="M145" s="512"/>
      <c r="N145" s="512"/>
    </row>
    <row r="146" spans="2:14">
      <c r="B146" s="509"/>
      <c r="C146" s="539" t="s">
        <v>161</v>
      </c>
      <c r="D146" s="521">
        <f>SUM(D142:D145)</f>
        <v>3.8315133046056414E-3</v>
      </c>
      <c r="E146" s="509"/>
      <c r="F146" s="509"/>
      <c r="G146" s="509"/>
      <c r="H146" s="509"/>
      <c r="I146" s="509"/>
      <c r="J146" s="509"/>
      <c r="K146" s="509" t="s">
        <v>152</v>
      </c>
      <c r="L146" s="513"/>
      <c r="M146" s="512"/>
      <c r="N146" s="512"/>
    </row>
    <row r="147" spans="2:14">
      <c r="B147" s="515"/>
      <c r="C147" s="535"/>
      <c r="D147" s="515"/>
      <c r="E147" s="515"/>
      <c r="F147" s="515"/>
      <c r="G147" s="515"/>
      <c r="H147" s="515"/>
      <c r="I147" s="515"/>
      <c r="J147" s="515"/>
      <c r="K147" s="515"/>
      <c r="L147" s="513"/>
      <c r="M147" s="512"/>
      <c r="N147" s="512"/>
    </row>
    <row r="148" spans="2:14">
      <c r="B148" s="517" t="s">
        <v>681</v>
      </c>
      <c r="C148" s="515"/>
      <c r="D148" s="517" t="s">
        <v>163</v>
      </c>
      <c r="E148" s="515"/>
      <c r="F148" s="515"/>
      <c r="G148" s="515"/>
      <c r="H148" s="515"/>
      <c r="I148" s="515"/>
      <c r="J148" s="515"/>
      <c r="K148" s="515"/>
      <c r="L148" s="513" t="s">
        <v>170</v>
      </c>
      <c r="M148" s="513" t="s">
        <v>552</v>
      </c>
      <c r="N148" s="513" t="s">
        <v>523</v>
      </c>
    </row>
    <row r="149" spans="2:14">
      <c r="B149" s="517"/>
      <c r="C149" s="515"/>
      <c r="D149" s="517"/>
      <c r="E149" s="515"/>
      <c r="F149" s="515"/>
      <c r="G149" s="515"/>
      <c r="H149" s="515"/>
      <c r="I149" s="515"/>
      <c r="J149" s="515"/>
      <c r="K149" s="515"/>
      <c r="L149" s="513"/>
      <c r="M149" s="513"/>
      <c r="N149" s="513"/>
    </row>
    <row r="150" spans="2:14">
      <c r="B150" s="509"/>
      <c r="C150" s="539"/>
      <c r="D150" s="525" t="s">
        <v>533</v>
      </c>
      <c r="E150" s="526"/>
      <c r="F150" s="525" t="s">
        <v>198</v>
      </c>
      <c r="G150" s="509"/>
      <c r="H150" s="509"/>
      <c r="I150" s="509"/>
      <c r="J150" s="509"/>
      <c r="K150" s="509"/>
      <c r="L150" s="513"/>
      <c r="M150" s="512"/>
      <c r="N150" s="512"/>
    </row>
    <row r="151" spans="2:14">
      <c r="B151" s="517" t="s">
        <v>151</v>
      </c>
      <c r="C151" s="515" t="s">
        <v>37</v>
      </c>
      <c r="D151" s="518">
        <f>D119*$D$8*$K$5</f>
        <v>0</v>
      </c>
      <c r="E151" s="518"/>
      <c r="F151" s="518">
        <f>F119*$D$6*$K$5</f>
        <v>0</v>
      </c>
      <c r="G151" s="515"/>
      <c r="H151" s="515"/>
      <c r="I151" s="515"/>
      <c r="J151" s="515"/>
      <c r="K151" s="536" t="s">
        <v>139</v>
      </c>
      <c r="L151" s="513"/>
      <c r="M151" s="512"/>
      <c r="N151" s="512"/>
    </row>
    <row r="152" spans="2:14">
      <c r="B152" s="517"/>
      <c r="C152" s="515" t="s">
        <v>39</v>
      </c>
      <c r="D152" s="518">
        <f>D120*$D$8*$K$5</f>
        <v>0</v>
      </c>
      <c r="E152" s="518"/>
      <c r="F152" s="518">
        <f>F120*$D$6*$K$5</f>
        <v>0</v>
      </c>
      <c r="G152" s="515"/>
      <c r="H152" s="515"/>
      <c r="I152" s="515"/>
      <c r="J152" s="515"/>
      <c r="K152" s="536" t="s">
        <v>139</v>
      </c>
      <c r="L152" s="513"/>
      <c r="M152" s="512"/>
      <c r="N152" s="512"/>
    </row>
    <row r="153" spans="2:14">
      <c r="B153" s="517"/>
      <c r="C153" s="515" t="s">
        <v>40</v>
      </c>
      <c r="D153" s="518">
        <f>D121*$D$8*$K$5</f>
        <v>0</v>
      </c>
      <c r="E153" s="518"/>
      <c r="F153" s="518">
        <f>F121*$D$6*$K$5</f>
        <v>0</v>
      </c>
      <c r="G153" s="515"/>
      <c r="H153" s="515"/>
      <c r="I153" s="515"/>
      <c r="J153" s="515"/>
      <c r="K153" s="536" t="s">
        <v>139</v>
      </c>
      <c r="L153" s="513"/>
      <c r="M153" s="512"/>
      <c r="N153" s="512"/>
    </row>
    <row r="154" spans="2:14">
      <c r="B154" s="511"/>
      <c r="C154" s="509" t="s">
        <v>41</v>
      </c>
      <c r="D154" s="521">
        <f>D122*$D$8*$K$5</f>
        <v>0</v>
      </c>
      <c r="E154" s="521"/>
      <c r="F154" s="521">
        <f>F122*$D$6*$K$5</f>
        <v>0</v>
      </c>
      <c r="G154" s="509"/>
      <c r="H154" s="509"/>
      <c r="I154" s="509"/>
      <c r="J154" s="509"/>
      <c r="K154" s="537" t="s">
        <v>139</v>
      </c>
      <c r="L154" s="513"/>
      <c r="M154" s="512"/>
      <c r="N154" s="512"/>
    </row>
    <row r="155" spans="2:14">
      <c r="B155" s="517" t="s">
        <v>153</v>
      </c>
      <c r="C155" s="515" t="s">
        <v>37</v>
      </c>
      <c r="D155" s="518">
        <f>D123*$D$7*$K$5</f>
        <v>1.5714285714285712E-6</v>
      </c>
      <c r="E155" s="515"/>
      <c r="F155" s="518">
        <f>F123*$D$5*$K$5</f>
        <v>0</v>
      </c>
      <c r="G155" s="515"/>
      <c r="H155" s="515"/>
      <c r="I155" s="515"/>
      <c r="J155" s="515"/>
      <c r="K155" s="536" t="s">
        <v>139</v>
      </c>
      <c r="L155" s="513"/>
      <c r="M155" s="512"/>
      <c r="N155" s="512"/>
    </row>
    <row r="156" spans="2:14">
      <c r="B156" s="517"/>
      <c r="C156" s="515" t="s">
        <v>39</v>
      </c>
      <c r="D156" s="518">
        <f>D124*$D$7*$K$5</f>
        <v>0</v>
      </c>
      <c r="E156" s="515"/>
      <c r="F156" s="518">
        <f>F124*$D$5*$K$5</f>
        <v>0</v>
      </c>
      <c r="G156" s="515"/>
      <c r="H156" s="515"/>
      <c r="I156" s="515"/>
      <c r="J156" s="515"/>
      <c r="K156" s="536" t="s">
        <v>139</v>
      </c>
      <c r="L156" s="513"/>
      <c r="M156" s="512"/>
      <c r="N156" s="512"/>
    </row>
    <row r="157" spans="2:14">
      <c r="B157" s="517"/>
      <c r="C157" s="515" t="s">
        <v>40</v>
      </c>
      <c r="D157" s="518">
        <f>D125*$D$7*$K$5</f>
        <v>0</v>
      </c>
      <c r="E157" s="515"/>
      <c r="F157" s="518">
        <f>F125*$D$5*$K$5</f>
        <v>0</v>
      </c>
      <c r="G157" s="515"/>
      <c r="H157" s="515"/>
      <c r="I157" s="515"/>
      <c r="J157" s="515"/>
      <c r="K157" s="536" t="s">
        <v>139</v>
      </c>
      <c r="L157" s="513"/>
      <c r="M157" s="512"/>
      <c r="N157" s="512"/>
    </row>
    <row r="158" spans="2:14">
      <c r="B158" s="511"/>
      <c r="C158" s="509" t="s">
        <v>41</v>
      </c>
      <c r="D158" s="521">
        <f>D126*$D$7*$K$5</f>
        <v>0</v>
      </c>
      <c r="E158" s="509"/>
      <c r="F158" s="521">
        <f>F126*$D$5*$K$5</f>
        <v>0</v>
      </c>
      <c r="G158" s="509"/>
      <c r="H158" s="509"/>
      <c r="I158" s="509"/>
      <c r="J158" s="509"/>
      <c r="K158" s="537" t="s">
        <v>139</v>
      </c>
      <c r="L158" s="513"/>
      <c r="M158" s="512"/>
      <c r="N158" s="512"/>
    </row>
    <row r="159" spans="2:14">
      <c r="B159" s="517" t="s">
        <v>625</v>
      </c>
      <c r="C159" s="515" t="s">
        <v>37</v>
      </c>
      <c r="D159" s="518">
        <f>D131*$D$8*$K$5</f>
        <v>0</v>
      </c>
      <c r="E159" s="538"/>
      <c r="F159" s="518">
        <f>F131*$D$6*$K$5</f>
        <v>0</v>
      </c>
      <c r="G159" s="515"/>
      <c r="H159" s="515"/>
      <c r="I159" s="515"/>
      <c r="J159" s="515"/>
      <c r="K159" s="536" t="s">
        <v>139</v>
      </c>
      <c r="L159" s="513"/>
      <c r="M159" s="512"/>
      <c r="N159" s="512"/>
    </row>
    <row r="160" spans="2:14">
      <c r="B160" s="517"/>
      <c r="C160" s="515" t="s">
        <v>39</v>
      </c>
      <c r="D160" s="518">
        <f>D132*$D$8*$K$5</f>
        <v>0</v>
      </c>
      <c r="E160" s="515"/>
      <c r="F160" s="518">
        <f>F132*$D$6*$K$5</f>
        <v>0</v>
      </c>
      <c r="G160" s="515"/>
      <c r="H160" s="515"/>
      <c r="I160" s="515"/>
      <c r="J160" s="515"/>
      <c r="K160" s="536" t="s">
        <v>139</v>
      </c>
      <c r="L160" s="513"/>
      <c r="M160" s="512"/>
      <c r="N160" s="512"/>
    </row>
    <row r="161" spans="2:14">
      <c r="B161" s="517"/>
      <c r="C161" s="515" t="s">
        <v>40</v>
      </c>
      <c r="D161" s="518">
        <f>D133*$D$8*$K$5</f>
        <v>0</v>
      </c>
      <c r="E161" s="515"/>
      <c r="F161" s="518">
        <f>F133*$D$6*$K$5</f>
        <v>0</v>
      </c>
      <c r="G161" s="515"/>
      <c r="H161" s="515"/>
      <c r="I161" s="515"/>
      <c r="J161" s="515"/>
      <c r="K161" s="536" t="s">
        <v>139</v>
      </c>
      <c r="L161" s="513"/>
      <c r="M161" s="512"/>
      <c r="N161" s="512"/>
    </row>
    <row r="162" spans="2:14">
      <c r="B162" s="511"/>
      <c r="C162" s="509" t="s">
        <v>41</v>
      </c>
      <c r="D162" s="521">
        <f>D134*$D$8*$K$5</f>
        <v>0</v>
      </c>
      <c r="E162" s="509"/>
      <c r="F162" s="521">
        <f>F134*$D$6*$K$5</f>
        <v>0</v>
      </c>
      <c r="G162" s="509"/>
      <c r="H162" s="509"/>
      <c r="I162" s="509"/>
      <c r="J162" s="509"/>
      <c r="K162" s="537" t="s">
        <v>139</v>
      </c>
      <c r="L162" s="513"/>
      <c r="M162" s="512"/>
      <c r="N162" s="512"/>
    </row>
    <row r="163" spans="2:14">
      <c r="B163" s="517" t="s">
        <v>680</v>
      </c>
      <c r="C163" s="515" t="s">
        <v>37</v>
      </c>
      <c r="D163" s="518">
        <f>D135*$D$7*$K$5</f>
        <v>0</v>
      </c>
      <c r="E163" s="515"/>
      <c r="F163" s="518">
        <f>F135*$D$5*$K$5</f>
        <v>0</v>
      </c>
      <c r="G163" s="515"/>
      <c r="H163" s="515"/>
      <c r="I163" s="515"/>
      <c r="J163" s="515"/>
      <c r="K163" s="536" t="s">
        <v>139</v>
      </c>
      <c r="L163" s="513"/>
      <c r="M163" s="512"/>
      <c r="N163" s="512"/>
    </row>
    <row r="164" spans="2:14">
      <c r="B164" s="515"/>
      <c r="C164" s="515" t="s">
        <v>39</v>
      </c>
      <c r="D164" s="518">
        <f>D136*$D$7*$K$5</f>
        <v>0</v>
      </c>
      <c r="E164" s="515"/>
      <c r="F164" s="518">
        <f>F136*$D$5*$K$5</f>
        <v>0</v>
      </c>
      <c r="G164" s="515"/>
      <c r="H164" s="515"/>
      <c r="I164" s="515"/>
      <c r="J164" s="515"/>
      <c r="K164" s="536" t="s">
        <v>139</v>
      </c>
      <c r="L164" s="513"/>
      <c r="M164" s="512"/>
      <c r="N164" s="512"/>
    </row>
    <row r="165" spans="2:14">
      <c r="B165" s="515"/>
      <c r="C165" s="515" t="s">
        <v>40</v>
      </c>
      <c r="D165" s="518">
        <f>D137*$D$7*$K$5</f>
        <v>0</v>
      </c>
      <c r="E165" s="515"/>
      <c r="F165" s="518">
        <f>F137*$D$5*$K$5</f>
        <v>0</v>
      </c>
      <c r="G165" s="515"/>
      <c r="H165" s="515"/>
      <c r="I165" s="515"/>
      <c r="J165" s="515"/>
      <c r="K165" s="536" t="s">
        <v>139</v>
      </c>
      <c r="L165" s="513"/>
      <c r="M165" s="512"/>
      <c r="N165" s="512"/>
    </row>
    <row r="166" spans="2:14">
      <c r="B166" s="509"/>
      <c r="C166" s="509" t="s">
        <v>41</v>
      </c>
      <c r="D166" s="521">
        <f>D138*$D$7*$K$5</f>
        <v>0</v>
      </c>
      <c r="E166" s="509"/>
      <c r="F166" s="521">
        <f>F138*$D$5*$K$5</f>
        <v>0</v>
      </c>
      <c r="G166" s="509"/>
      <c r="H166" s="509"/>
      <c r="I166" s="509"/>
      <c r="J166" s="509"/>
      <c r="K166" s="537" t="s">
        <v>139</v>
      </c>
      <c r="L166" s="513"/>
      <c r="M166" s="512"/>
      <c r="N166" s="512"/>
    </row>
    <row r="167" spans="2:14">
      <c r="B167" s="517" t="s">
        <v>679</v>
      </c>
      <c r="C167" s="515" t="s">
        <v>37</v>
      </c>
      <c r="D167" s="518">
        <f>D142*$D$7*$K$5</f>
        <v>5.013913786978253E-6</v>
      </c>
      <c r="E167" s="515"/>
      <c r="F167" s="518"/>
      <c r="G167" s="515"/>
      <c r="H167" s="515"/>
      <c r="I167" s="515"/>
      <c r="J167" s="515"/>
      <c r="K167" s="536" t="s">
        <v>139</v>
      </c>
      <c r="L167" s="513"/>
      <c r="M167" s="512"/>
      <c r="N167" s="512"/>
    </row>
    <row r="168" spans="2:14">
      <c r="B168" s="517"/>
      <c r="C168" s="515" t="s">
        <v>39</v>
      </c>
      <c r="D168" s="518">
        <f>D143*$D$7*$K$5</f>
        <v>1.5768466791035501E-6</v>
      </c>
      <c r="E168" s="515"/>
      <c r="F168" s="518"/>
      <c r="G168" s="515"/>
      <c r="H168" s="515"/>
      <c r="I168" s="515"/>
      <c r="J168" s="515"/>
      <c r="K168" s="536" t="s">
        <v>139</v>
      </c>
      <c r="L168" s="513"/>
      <c r="M168" s="512"/>
      <c r="N168" s="512"/>
    </row>
    <row r="169" spans="2:14">
      <c r="B169" s="517"/>
      <c r="C169" s="515" t="s">
        <v>40</v>
      </c>
      <c r="D169" s="518">
        <f>D144*$D$7*$K$5</f>
        <v>3.4810731280560142E-6</v>
      </c>
      <c r="E169" s="515"/>
      <c r="F169" s="518"/>
      <c r="G169" s="515"/>
      <c r="H169" s="515"/>
      <c r="I169" s="515"/>
      <c r="J169" s="515"/>
      <c r="K169" s="536" t="s">
        <v>139</v>
      </c>
      <c r="L169" s="513"/>
      <c r="M169" s="512"/>
      <c r="N169" s="512"/>
    </row>
    <row r="170" spans="2:14">
      <c r="B170" s="511"/>
      <c r="C170" s="509" t="s">
        <v>41</v>
      </c>
      <c r="D170" s="518">
        <f>D145*$D$7*$K$5</f>
        <v>1.9700653631941974E-6</v>
      </c>
      <c r="E170" s="509"/>
      <c r="F170" s="521"/>
      <c r="G170" s="509"/>
      <c r="H170" s="509"/>
      <c r="I170" s="509"/>
      <c r="J170" s="509"/>
      <c r="K170" s="537" t="s">
        <v>139</v>
      </c>
      <c r="L170" s="513"/>
      <c r="M170" s="512"/>
      <c r="N170" s="512"/>
    </row>
    <row r="171" spans="2:14">
      <c r="B171" s="515"/>
      <c r="C171" s="515"/>
      <c r="D171" s="518"/>
      <c r="E171" s="515"/>
      <c r="F171" s="518"/>
      <c r="G171" s="515"/>
      <c r="H171" s="515"/>
      <c r="I171" s="515"/>
      <c r="J171" s="515"/>
      <c r="K171" s="536"/>
      <c r="L171" s="513"/>
      <c r="M171" s="512"/>
      <c r="N171" s="512"/>
    </row>
    <row r="172" spans="2:14">
      <c r="B172" s="517" t="s">
        <v>678</v>
      </c>
      <c r="C172" s="518">
        <f>SUM(D151:D154,F151:F154,D155:D158,F155:F158,D159:D162,F159:F162,D163:D170,F163:F166)</f>
        <v>1.3613327528760586E-5</v>
      </c>
      <c r="D172" s="515"/>
      <c r="E172" s="515"/>
      <c r="F172" s="515"/>
      <c r="G172" s="515"/>
      <c r="H172" s="515"/>
      <c r="I172" s="515"/>
      <c r="J172" s="515"/>
      <c r="K172" s="514" t="s">
        <v>140</v>
      </c>
      <c r="L172" s="513"/>
      <c r="M172" s="512"/>
      <c r="N172" s="512"/>
    </row>
    <row r="173" spans="2:14">
      <c r="B173" s="517" t="s">
        <v>678</v>
      </c>
      <c r="C173" s="516">
        <f>C172*GWP!C6</f>
        <v>4.0567716035706551E-3</v>
      </c>
      <c r="D173" s="515"/>
      <c r="E173" s="515"/>
      <c r="F173" s="515"/>
      <c r="G173" s="515"/>
      <c r="H173" s="515"/>
      <c r="I173" s="515"/>
      <c r="J173" s="515"/>
      <c r="K173" s="514" t="s">
        <v>93</v>
      </c>
      <c r="L173" s="513"/>
      <c r="M173" s="512"/>
      <c r="N173" s="512"/>
    </row>
    <row r="174" spans="2:14">
      <c r="B174" s="511" t="s">
        <v>678</v>
      </c>
      <c r="C174" s="510">
        <f>C173*10^3</f>
        <v>4.0567716035706551</v>
      </c>
      <c r="D174" s="509"/>
      <c r="E174" s="509"/>
      <c r="F174" s="509"/>
      <c r="G174" s="509"/>
      <c r="H174" s="509"/>
      <c r="I174" s="509"/>
      <c r="J174" s="509"/>
      <c r="K174" s="508" t="s">
        <v>94</v>
      </c>
      <c r="L174" s="513"/>
      <c r="M174" s="512"/>
      <c r="N174" s="512"/>
    </row>
    <row r="175" spans="2:14">
      <c r="B175" s="515"/>
      <c r="C175" s="535"/>
      <c r="D175" s="515"/>
      <c r="E175" s="515"/>
      <c r="F175" s="515"/>
      <c r="G175" s="515"/>
      <c r="H175" s="515"/>
      <c r="I175" s="515"/>
      <c r="J175" s="515"/>
      <c r="K175" s="515"/>
      <c r="L175" s="513"/>
      <c r="M175" s="512"/>
      <c r="N175" s="512"/>
    </row>
    <row r="176" spans="2:14">
      <c r="B176" s="515" t="s">
        <v>167</v>
      </c>
      <c r="C176" s="515"/>
      <c r="D176" s="515"/>
      <c r="E176" s="515"/>
      <c r="F176" s="515"/>
      <c r="G176" s="515"/>
      <c r="H176" s="515"/>
      <c r="I176" s="515"/>
      <c r="J176" s="524"/>
      <c r="K176" s="515"/>
      <c r="L176" s="513"/>
      <c r="M176" s="512"/>
      <c r="N176" s="512"/>
    </row>
    <row r="177" spans="2:14">
      <c r="B177" s="517" t="s">
        <v>168</v>
      </c>
      <c r="C177" s="515"/>
      <c r="D177" s="517" t="s">
        <v>663</v>
      </c>
      <c r="E177" s="515"/>
      <c r="F177" s="515"/>
      <c r="G177" s="515"/>
      <c r="H177" s="515"/>
      <c r="I177" s="515"/>
      <c r="J177" s="515"/>
      <c r="K177" s="515"/>
      <c r="L177" s="513" t="s">
        <v>174</v>
      </c>
      <c r="M177" s="513" t="s">
        <v>553</v>
      </c>
      <c r="N177" s="513" t="s">
        <v>523</v>
      </c>
    </row>
    <row r="178" spans="2:14">
      <c r="B178" s="515"/>
      <c r="C178" s="515"/>
      <c r="D178" s="515" t="s">
        <v>171</v>
      </c>
      <c r="E178" s="515"/>
      <c r="F178" s="515"/>
      <c r="G178" s="515"/>
      <c r="H178" s="515"/>
      <c r="I178" s="515"/>
      <c r="J178" s="515"/>
      <c r="K178" s="515" t="s">
        <v>149</v>
      </c>
      <c r="L178" s="513"/>
      <c r="M178" s="512"/>
      <c r="N178" s="512"/>
    </row>
    <row r="179" spans="2:14">
      <c r="B179" s="515"/>
      <c r="C179" s="515"/>
      <c r="D179" s="515" t="s">
        <v>172</v>
      </c>
      <c r="E179" s="515"/>
      <c r="F179" s="515"/>
      <c r="G179" s="515"/>
      <c r="H179" s="515"/>
      <c r="I179" s="515"/>
      <c r="J179" s="515"/>
      <c r="K179" s="515"/>
      <c r="L179" s="513" t="s">
        <v>664</v>
      </c>
      <c r="M179" s="513" t="s">
        <v>665</v>
      </c>
      <c r="N179" s="512"/>
    </row>
    <row r="180" spans="2:14">
      <c r="B180" s="515"/>
      <c r="C180" s="515"/>
      <c r="D180" s="515"/>
      <c r="E180" s="515"/>
      <c r="F180" s="515"/>
      <c r="G180" s="515"/>
      <c r="H180" s="515"/>
      <c r="I180" s="515"/>
      <c r="J180" s="515"/>
      <c r="K180" s="515"/>
      <c r="L180" s="513"/>
      <c r="M180" s="513"/>
      <c r="N180" s="512"/>
    </row>
    <row r="181" spans="2:14">
      <c r="B181" s="515"/>
      <c r="C181" s="515"/>
      <c r="D181" s="534" t="s">
        <v>657</v>
      </c>
      <c r="E181" s="533"/>
      <c r="F181" s="515"/>
      <c r="G181" s="515"/>
      <c r="H181" s="515"/>
      <c r="I181" s="515"/>
      <c r="J181" s="515"/>
      <c r="K181" s="515"/>
      <c r="L181" s="513"/>
      <c r="M181" s="512"/>
      <c r="N181" s="512"/>
    </row>
    <row r="182" spans="2:14">
      <c r="B182" s="515"/>
      <c r="C182" s="515"/>
      <c r="D182" s="532">
        <v>1</v>
      </c>
      <c r="E182" s="531" t="s">
        <v>658</v>
      </c>
      <c r="F182" s="515"/>
      <c r="G182" s="515"/>
      <c r="H182" s="514"/>
      <c r="I182" s="515"/>
      <c r="J182" s="515"/>
      <c r="K182" s="515"/>
      <c r="L182" s="513"/>
      <c r="M182" s="512"/>
      <c r="N182" s="512"/>
    </row>
    <row r="183" spans="2:14">
      <c r="B183" s="515"/>
      <c r="C183" s="515"/>
      <c r="D183" s="530">
        <v>2</v>
      </c>
      <c r="E183" s="529" t="s">
        <v>659</v>
      </c>
      <c r="F183" s="515"/>
      <c r="G183" s="515"/>
      <c r="H183" s="514"/>
      <c r="I183" s="515"/>
      <c r="J183" s="515"/>
      <c r="K183" s="515"/>
      <c r="L183" s="513"/>
      <c r="M183" s="512"/>
      <c r="N183" s="512"/>
    </row>
    <row r="184" spans="2:14">
      <c r="B184" s="515"/>
      <c r="C184" s="515"/>
      <c r="D184" s="515"/>
      <c r="E184" s="515"/>
      <c r="F184" s="515"/>
      <c r="G184" s="515"/>
      <c r="H184" s="514"/>
      <c r="I184" s="515"/>
      <c r="J184" s="515"/>
      <c r="K184" s="515"/>
      <c r="L184" s="513"/>
      <c r="M184" s="512"/>
      <c r="N184" s="512"/>
    </row>
    <row r="185" spans="2:14">
      <c r="B185" s="515"/>
      <c r="C185" s="515"/>
      <c r="D185" s="515" t="s">
        <v>660</v>
      </c>
      <c r="E185" s="515"/>
      <c r="F185" s="515"/>
      <c r="G185" s="515"/>
      <c r="H185" s="514">
        <f>'Data input'!E5</f>
        <v>2</v>
      </c>
      <c r="I185" s="515"/>
      <c r="J185" s="515"/>
      <c r="K185" s="515"/>
      <c r="L185" s="513"/>
      <c r="M185" s="512"/>
      <c r="N185" s="512"/>
    </row>
    <row r="186" spans="2:14">
      <c r="B186" s="515"/>
      <c r="C186" s="515"/>
      <c r="D186" s="515" t="s">
        <v>661</v>
      </c>
      <c r="E186" s="515"/>
      <c r="F186" s="515"/>
      <c r="G186" s="515"/>
      <c r="H186" s="514">
        <f>IF(H185=2,1,0)</f>
        <v>1</v>
      </c>
      <c r="I186" s="515"/>
      <c r="J186" s="515"/>
      <c r="K186" s="515"/>
      <c r="L186" s="513"/>
      <c r="M186" s="512"/>
      <c r="N186" s="512"/>
    </row>
    <row r="187" spans="2:14">
      <c r="B187" s="515"/>
      <c r="C187" s="515"/>
      <c r="D187" s="515" t="s">
        <v>173</v>
      </c>
      <c r="E187" s="515"/>
      <c r="F187" s="515"/>
      <c r="G187" s="515"/>
      <c r="H187" s="514">
        <f>0.3</f>
        <v>0.3</v>
      </c>
      <c r="I187" s="515"/>
      <c r="J187" s="515"/>
      <c r="K187" s="515" t="s">
        <v>540</v>
      </c>
      <c r="L187" s="513"/>
      <c r="M187" s="512"/>
      <c r="N187" s="512"/>
    </row>
    <row r="188" spans="2:14">
      <c r="B188" s="515"/>
      <c r="C188" s="515"/>
      <c r="D188" s="515"/>
      <c r="E188" s="515"/>
      <c r="F188" s="515"/>
      <c r="G188" s="515"/>
      <c r="H188" s="515"/>
      <c r="I188" s="515"/>
      <c r="J188" s="515"/>
      <c r="K188" s="515"/>
      <c r="L188" s="513"/>
      <c r="M188" s="512"/>
      <c r="N188" s="512"/>
    </row>
    <row r="189" spans="2:14">
      <c r="B189" s="509"/>
      <c r="C189" s="509"/>
      <c r="D189" s="525" t="s">
        <v>533</v>
      </c>
      <c r="E189" s="526"/>
      <c r="F189" s="525" t="s">
        <v>198</v>
      </c>
      <c r="G189" s="509"/>
      <c r="H189" s="509"/>
      <c r="I189" s="509"/>
      <c r="J189" s="509"/>
      <c r="K189" s="509"/>
      <c r="L189" s="513"/>
      <c r="M189" s="512"/>
      <c r="N189" s="512"/>
    </row>
    <row r="190" spans="2:14">
      <c r="B190" s="517" t="s">
        <v>151</v>
      </c>
      <c r="C190" s="515" t="s">
        <v>37</v>
      </c>
      <c r="D190" s="518">
        <f>D15*$H$186*$H$187*10^-6</f>
        <v>0</v>
      </c>
      <c r="E190" s="518"/>
      <c r="F190" s="518">
        <f>F15*$H$186*$H$187*10^-6</f>
        <v>0</v>
      </c>
      <c r="G190" s="515"/>
      <c r="H190" s="515"/>
      <c r="I190" s="515"/>
      <c r="J190" s="515"/>
      <c r="K190" s="515"/>
      <c r="L190" s="513"/>
      <c r="M190" s="512"/>
      <c r="N190" s="512"/>
    </row>
    <row r="191" spans="2:14">
      <c r="B191" s="517"/>
      <c r="C191" s="515" t="s">
        <v>39</v>
      </c>
      <c r="D191" s="518">
        <f>D16*$H$186*$H$187*10^-6</f>
        <v>0</v>
      </c>
      <c r="E191" s="518"/>
      <c r="F191" s="518">
        <f>F16*$H$186*$H$187*10^-6</f>
        <v>0</v>
      </c>
      <c r="G191" s="515"/>
      <c r="H191" s="515"/>
      <c r="I191" s="515"/>
      <c r="J191" s="515"/>
      <c r="K191" s="515"/>
      <c r="L191" s="513"/>
      <c r="M191" s="512"/>
      <c r="N191" s="512"/>
    </row>
    <row r="192" spans="2:14">
      <c r="B192" s="517"/>
      <c r="C192" s="515" t="s">
        <v>40</v>
      </c>
      <c r="D192" s="518">
        <f>D17*$H$186*$H$187*10^-6</f>
        <v>0</v>
      </c>
      <c r="E192" s="518"/>
      <c r="F192" s="518">
        <f>F17*$H$186*$H$187*10^-6</f>
        <v>0</v>
      </c>
      <c r="G192" s="515"/>
      <c r="H192" s="515"/>
      <c r="I192" s="515"/>
      <c r="J192" s="515"/>
      <c r="K192" s="515"/>
      <c r="L192" s="513"/>
      <c r="M192" s="512"/>
      <c r="N192" s="512"/>
    </row>
    <row r="193" spans="2:14">
      <c r="B193" s="511"/>
      <c r="C193" s="509" t="s">
        <v>41</v>
      </c>
      <c r="D193" s="521">
        <f>D18*$H$186*$H$187*10^-6</f>
        <v>0</v>
      </c>
      <c r="E193" s="521"/>
      <c r="F193" s="521">
        <f>F18*$H$186*$H$187*10^-6</f>
        <v>0</v>
      </c>
      <c r="G193" s="509"/>
      <c r="H193" s="509"/>
      <c r="I193" s="509"/>
      <c r="J193" s="509"/>
      <c r="K193" s="509"/>
      <c r="L193" s="513"/>
      <c r="M193" s="512"/>
      <c r="N193" s="512"/>
    </row>
    <row r="194" spans="2:14">
      <c r="B194" s="517" t="s">
        <v>153</v>
      </c>
      <c r="C194" s="515" t="s">
        <v>37</v>
      </c>
      <c r="D194" s="518">
        <f>D19*$H$186*$H$187*10^-6</f>
        <v>1.5E-3</v>
      </c>
      <c r="E194" s="518"/>
      <c r="F194" s="518">
        <f>F19*$H$186*$H$187*10^-6</f>
        <v>0</v>
      </c>
      <c r="G194" s="515"/>
      <c r="H194" s="515"/>
      <c r="I194" s="515"/>
      <c r="J194" s="515"/>
      <c r="K194" s="515"/>
      <c r="L194" s="513"/>
      <c r="M194" s="512"/>
      <c r="N194" s="512"/>
    </row>
    <row r="195" spans="2:14">
      <c r="B195" s="517"/>
      <c r="C195" s="515" t="s">
        <v>39</v>
      </c>
      <c r="D195" s="518">
        <f>D20*$H$186*$H$187*10^-6</f>
        <v>0</v>
      </c>
      <c r="E195" s="518"/>
      <c r="F195" s="518">
        <f>F20*$H$186*$H$187*10^-6</f>
        <v>0</v>
      </c>
      <c r="G195" s="515"/>
      <c r="H195" s="515"/>
      <c r="I195" s="515"/>
      <c r="J195" s="515"/>
      <c r="K195" s="515"/>
      <c r="L195" s="513"/>
      <c r="M195" s="512"/>
      <c r="N195" s="512"/>
    </row>
    <row r="196" spans="2:14">
      <c r="B196" s="517"/>
      <c r="C196" s="515" t="s">
        <v>40</v>
      </c>
      <c r="D196" s="518">
        <f>D21*$H$186*$H$187*10^-6</f>
        <v>0</v>
      </c>
      <c r="E196" s="518"/>
      <c r="F196" s="518">
        <f>F21*$H$186*$H$187*10^-6</f>
        <v>0</v>
      </c>
      <c r="G196" s="515"/>
      <c r="H196" s="515"/>
      <c r="I196" s="515"/>
      <c r="J196" s="515"/>
      <c r="K196" s="515"/>
      <c r="L196" s="513"/>
      <c r="M196" s="512"/>
      <c r="N196" s="512"/>
    </row>
    <row r="197" spans="2:14">
      <c r="B197" s="511"/>
      <c r="C197" s="509" t="s">
        <v>41</v>
      </c>
      <c r="D197" s="521">
        <f>D22*$H$186*$H$187*10^-6</f>
        <v>0</v>
      </c>
      <c r="E197" s="521"/>
      <c r="F197" s="521">
        <f>F22*$H$186*$H$187*10^-6</f>
        <v>0</v>
      </c>
      <c r="G197" s="509"/>
      <c r="H197" s="509"/>
      <c r="I197" s="509"/>
      <c r="J197" s="509"/>
      <c r="K197" s="509"/>
      <c r="L197" s="513"/>
      <c r="M197" s="512"/>
      <c r="N197" s="512"/>
    </row>
    <row r="198" spans="2:14">
      <c r="B198" s="517" t="s">
        <v>677</v>
      </c>
      <c r="C198" s="515"/>
      <c r="D198" s="518"/>
      <c r="E198" s="518"/>
      <c r="F198" s="518"/>
      <c r="G198" s="515"/>
      <c r="H198" s="515"/>
      <c r="I198" s="515"/>
      <c r="J198" s="515"/>
      <c r="K198" s="515"/>
      <c r="L198" s="513"/>
      <c r="M198" s="512"/>
      <c r="N198" s="512"/>
    </row>
    <row r="199" spans="2:14">
      <c r="B199" s="517" t="s">
        <v>676</v>
      </c>
      <c r="C199" s="515" t="s">
        <v>37</v>
      </c>
      <c r="D199" s="518">
        <f>(SUM(D93:J93)+SUM(D99:J99))*$H$186*$H$187</f>
        <v>2.3930043074214388E-3</v>
      </c>
      <c r="E199" s="518"/>
      <c r="F199" s="518"/>
      <c r="G199" s="515"/>
      <c r="H199" s="515"/>
      <c r="I199" s="515"/>
      <c r="J199" s="515"/>
      <c r="K199" s="515"/>
      <c r="L199" s="513"/>
      <c r="M199" s="512"/>
      <c r="N199" s="512"/>
    </row>
    <row r="200" spans="2:14">
      <c r="B200" s="517"/>
      <c r="C200" s="515" t="s">
        <v>39</v>
      </c>
      <c r="D200" s="518">
        <f>(SUM(D94:J94)+SUM(D100:J100))*$H$186*$H$187</f>
        <v>7.5258591502669423E-4</v>
      </c>
      <c r="E200" s="518"/>
      <c r="F200" s="518"/>
      <c r="G200" s="515"/>
      <c r="H200" s="515"/>
      <c r="I200" s="515"/>
      <c r="J200" s="515"/>
      <c r="K200" s="515"/>
      <c r="L200" s="513"/>
      <c r="M200" s="512"/>
      <c r="N200" s="512"/>
    </row>
    <row r="201" spans="2:14">
      <c r="B201" s="517"/>
      <c r="C201" s="515" t="s">
        <v>40</v>
      </c>
      <c r="D201" s="518">
        <f>(SUM(D95:J95)+SUM(D101:J101))*$H$186*$H$187</f>
        <v>1.6614212656630974E-3</v>
      </c>
      <c r="E201" s="518"/>
      <c r="F201" s="518"/>
      <c r="G201" s="515"/>
      <c r="H201" s="515"/>
      <c r="I201" s="515"/>
      <c r="J201" s="515"/>
      <c r="K201" s="515"/>
      <c r="L201" s="513"/>
      <c r="M201" s="512"/>
      <c r="N201" s="512"/>
    </row>
    <row r="202" spans="2:14">
      <c r="B202" s="511"/>
      <c r="C202" s="509" t="s">
        <v>41</v>
      </c>
      <c r="D202" s="518">
        <f>(SUM(D96:J96)+SUM(D102:J102))*$H$186*$H$187</f>
        <v>9.4025846879723066E-4</v>
      </c>
      <c r="E202" s="521"/>
      <c r="F202" s="521"/>
      <c r="G202" s="509"/>
      <c r="H202" s="509"/>
      <c r="I202" s="509"/>
      <c r="J202" s="509"/>
      <c r="K202" s="509"/>
      <c r="L202" s="513"/>
      <c r="M202" s="512"/>
      <c r="N202" s="512"/>
    </row>
    <row r="203" spans="2:14">
      <c r="B203" s="517"/>
      <c r="C203" s="515"/>
      <c r="D203" s="518"/>
      <c r="E203" s="518"/>
      <c r="F203" s="518"/>
      <c r="G203" s="515"/>
      <c r="H203" s="515"/>
      <c r="I203" s="515"/>
      <c r="J203" s="515"/>
      <c r="K203" s="515"/>
      <c r="L203" s="513"/>
      <c r="M203" s="512"/>
      <c r="N203" s="512"/>
    </row>
    <row r="204" spans="2:14">
      <c r="B204" s="517"/>
      <c r="C204" s="515"/>
      <c r="D204" s="515"/>
      <c r="E204" s="515"/>
      <c r="F204" s="515"/>
      <c r="G204" s="515"/>
      <c r="H204" s="515"/>
      <c r="I204" s="515"/>
      <c r="J204" s="515"/>
      <c r="K204" s="515"/>
      <c r="L204" s="513"/>
      <c r="M204" s="512"/>
      <c r="N204" s="512"/>
    </row>
    <row r="205" spans="2:14">
      <c r="B205" s="517" t="s">
        <v>554</v>
      </c>
      <c r="C205" s="515"/>
      <c r="D205" s="517" t="s">
        <v>169</v>
      </c>
      <c r="E205" s="515"/>
      <c r="F205" s="515"/>
      <c r="G205" s="515"/>
      <c r="H205" s="515"/>
      <c r="I205" s="515"/>
      <c r="J205" s="515"/>
      <c r="K205" s="515"/>
      <c r="L205" s="513" t="s">
        <v>622</v>
      </c>
      <c r="M205" s="513" t="s">
        <v>555</v>
      </c>
      <c r="N205" s="513" t="s">
        <v>546</v>
      </c>
    </row>
    <row r="206" spans="2:14">
      <c r="B206" s="515"/>
      <c r="C206" s="515"/>
      <c r="D206" s="515" t="s">
        <v>171</v>
      </c>
      <c r="E206" s="515"/>
      <c r="F206" s="515"/>
      <c r="G206" s="515"/>
      <c r="H206" s="515"/>
      <c r="I206" s="515"/>
      <c r="J206" s="515"/>
      <c r="K206" s="515"/>
      <c r="L206" s="513"/>
      <c r="M206" s="512"/>
      <c r="N206" s="512"/>
    </row>
    <row r="207" spans="2:14">
      <c r="B207" s="515"/>
      <c r="C207" s="515"/>
      <c r="D207" s="515" t="s">
        <v>172</v>
      </c>
      <c r="E207" s="515"/>
      <c r="F207" s="515"/>
      <c r="G207" s="515"/>
      <c r="H207" s="514"/>
      <c r="I207" s="515"/>
      <c r="J207" s="515"/>
      <c r="K207" s="515" t="s">
        <v>149</v>
      </c>
      <c r="L207" s="513"/>
      <c r="M207" s="512"/>
      <c r="N207" s="512"/>
    </row>
    <row r="208" spans="2:14">
      <c r="B208" s="515"/>
      <c r="C208" s="515"/>
      <c r="D208" s="515"/>
      <c r="E208" s="515"/>
      <c r="F208" s="515"/>
      <c r="G208" s="515"/>
      <c r="H208" s="514"/>
      <c r="I208" s="515"/>
      <c r="J208" s="515"/>
      <c r="K208" s="515" t="s">
        <v>540</v>
      </c>
      <c r="L208" s="513"/>
      <c r="M208" s="512"/>
      <c r="N208" s="512"/>
    </row>
    <row r="209" spans="2:14">
      <c r="B209" s="515"/>
      <c r="C209" s="515"/>
      <c r="D209" s="515" t="s">
        <v>661</v>
      </c>
      <c r="E209" s="515"/>
      <c r="F209" s="515"/>
      <c r="G209" s="515"/>
      <c r="H209" s="515">
        <f>H186</f>
        <v>1</v>
      </c>
      <c r="I209" s="515"/>
      <c r="J209" s="515"/>
      <c r="K209" s="515"/>
      <c r="L209" s="513"/>
      <c r="M209" s="512"/>
      <c r="N209" s="512"/>
    </row>
    <row r="210" spans="2:14">
      <c r="B210" s="515"/>
      <c r="C210" s="515"/>
      <c r="D210" s="515" t="s">
        <v>173</v>
      </c>
      <c r="E210" s="515"/>
      <c r="F210" s="515"/>
      <c r="G210" s="515"/>
      <c r="H210" s="515">
        <v>0.3</v>
      </c>
      <c r="I210" s="515"/>
      <c r="J210" s="515"/>
      <c r="K210" s="515" t="s">
        <v>666</v>
      </c>
      <c r="L210" s="513"/>
      <c r="M210" s="512"/>
      <c r="N210" s="512"/>
    </row>
    <row r="211" spans="2:14">
      <c r="B211" s="515"/>
      <c r="C211" s="515"/>
      <c r="D211" s="515"/>
      <c r="E211" s="515"/>
      <c r="F211" s="515"/>
      <c r="G211" s="515"/>
      <c r="H211" s="515"/>
      <c r="I211" s="515"/>
      <c r="J211" s="515"/>
      <c r="K211" s="515"/>
      <c r="L211" s="513"/>
      <c r="M211" s="512"/>
      <c r="N211" s="512"/>
    </row>
    <row r="212" spans="2:14">
      <c r="B212" s="509"/>
      <c r="C212" s="509"/>
      <c r="D212" s="525" t="s">
        <v>533</v>
      </c>
      <c r="E212" s="526"/>
      <c r="F212" s="525" t="s">
        <v>198</v>
      </c>
      <c r="G212" s="509"/>
      <c r="H212" s="509"/>
      <c r="I212" s="509"/>
      <c r="J212" s="509"/>
      <c r="K212" s="509"/>
      <c r="L212" s="513"/>
      <c r="M212" s="512"/>
      <c r="N212" s="512"/>
    </row>
    <row r="213" spans="2:14">
      <c r="B213" s="517" t="s">
        <v>151</v>
      </c>
      <c r="C213" s="515" t="s">
        <v>37</v>
      </c>
      <c r="D213" s="518">
        <f>D57*$H$209*$H$210</f>
        <v>0</v>
      </c>
      <c r="E213" s="518"/>
      <c r="F213" s="518">
        <f>F57*$H$209*$H$210</f>
        <v>0</v>
      </c>
      <c r="G213" s="515"/>
      <c r="H213" s="515"/>
      <c r="I213" s="515"/>
      <c r="J213" s="515"/>
      <c r="K213" s="515" t="s">
        <v>152</v>
      </c>
      <c r="L213" s="513"/>
      <c r="M213" s="512"/>
      <c r="N213" s="512"/>
    </row>
    <row r="214" spans="2:14">
      <c r="B214" s="517"/>
      <c r="C214" s="515" t="s">
        <v>39</v>
      </c>
      <c r="D214" s="518">
        <f>D58*$H$209*$H$210</f>
        <v>0</v>
      </c>
      <c r="E214" s="518"/>
      <c r="F214" s="518">
        <f>F58*$H$209*$H$210</f>
        <v>0</v>
      </c>
      <c r="G214" s="515"/>
      <c r="H214" s="515"/>
      <c r="I214" s="515"/>
      <c r="J214" s="515"/>
      <c r="K214" s="515" t="s">
        <v>152</v>
      </c>
      <c r="L214" s="513"/>
      <c r="M214" s="512"/>
      <c r="N214" s="512"/>
    </row>
    <row r="215" spans="2:14">
      <c r="B215" s="517"/>
      <c r="C215" s="515" t="s">
        <v>40</v>
      </c>
      <c r="D215" s="518">
        <f>D59*$H$209*$H$210</f>
        <v>0</v>
      </c>
      <c r="E215" s="518"/>
      <c r="F215" s="518">
        <f>F59*$H$209*$H$210</f>
        <v>0</v>
      </c>
      <c r="G215" s="515"/>
      <c r="H215" s="515"/>
      <c r="I215" s="515"/>
      <c r="J215" s="515"/>
      <c r="K215" s="515" t="s">
        <v>152</v>
      </c>
      <c r="L215" s="513"/>
      <c r="M215" s="512"/>
      <c r="N215" s="512"/>
    </row>
    <row r="216" spans="2:14">
      <c r="B216" s="511"/>
      <c r="C216" s="509" t="s">
        <v>41</v>
      </c>
      <c r="D216" s="521">
        <f>D60*$H$209*$H$210</f>
        <v>0</v>
      </c>
      <c r="E216" s="521"/>
      <c r="F216" s="521">
        <f>F60*$H$209*$H$210</f>
        <v>0</v>
      </c>
      <c r="G216" s="509"/>
      <c r="H216" s="509"/>
      <c r="I216" s="509"/>
      <c r="J216" s="509"/>
      <c r="K216" s="509" t="s">
        <v>152</v>
      </c>
      <c r="L216" s="513"/>
      <c r="M216" s="512"/>
      <c r="N216" s="512"/>
    </row>
    <row r="217" spans="2:14">
      <c r="B217" s="517" t="s">
        <v>153</v>
      </c>
      <c r="C217" s="515" t="s">
        <v>37</v>
      </c>
      <c r="D217" s="518">
        <f>D61*$H$209*$H$210</f>
        <v>0</v>
      </c>
      <c r="E217" s="518"/>
      <c r="F217" s="518">
        <f>F61*$H$209*$H$210</f>
        <v>0</v>
      </c>
      <c r="G217" s="515"/>
      <c r="H217" s="515"/>
      <c r="I217" s="515"/>
      <c r="J217" s="515"/>
      <c r="K217" s="515" t="s">
        <v>152</v>
      </c>
      <c r="L217" s="513"/>
      <c r="M217" s="512"/>
      <c r="N217" s="512"/>
    </row>
    <row r="218" spans="2:14">
      <c r="B218" s="517"/>
      <c r="C218" s="515" t="s">
        <v>39</v>
      </c>
      <c r="D218" s="518">
        <f>D62*$H$209*$H$210</f>
        <v>0</v>
      </c>
      <c r="E218" s="518"/>
      <c r="F218" s="518">
        <f>F62*$H$209*$H$210</f>
        <v>0</v>
      </c>
      <c r="G218" s="515"/>
      <c r="H218" s="515"/>
      <c r="I218" s="515"/>
      <c r="J218" s="515"/>
      <c r="K218" s="515" t="s">
        <v>152</v>
      </c>
      <c r="L218" s="513"/>
      <c r="M218" s="512"/>
      <c r="N218" s="512"/>
    </row>
    <row r="219" spans="2:14">
      <c r="B219" s="517"/>
      <c r="C219" s="515" t="s">
        <v>40</v>
      </c>
      <c r="D219" s="518">
        <f>D63*$H$209*$H$210</f>
        <v>0</v>
      </c>
      <c r="E219" s="518"/>
      <c r="F219" s="518">
        <f>F63*$H$209*$H$210</f>
        <v>0</v>
      </c>
      <c r="G219" s="515"/>
      <c r="H219" s="515"/>
      <c r="I219" s="515"/>
      <c r="J219" s="515"/>
      <c r="K219" s="515" t="s">
        <v>152</v>
      </c>
      <c r="L219" s="513"/>
      <c r="M219" s="512"/>
      <c r="N219" s="512"/>
    </row>
    <row r="220" spans="2:14">
      <c r="B220" s="511"/>
      <c r="C220" s="509" t="s">
        <v>41</v>
      </c>
      <c r="D220" s="521">
        <f>D64*$H$209*$H$210</f>
        <v>0</v>
      </c>
      <c r="E220" s="521"/>
      <c r="F220" s="521">
        <f>F64*$H$209*$H$210</f>
        <v>0</v>
      </c>
      <c r="G220" s="509"/>
      <c r="H220" s="509"/>
      <c r="I220" s="509"/>
      <c r="J220" s="509"/>
      <c r="K220" s="509" t="s">
        <v>152</v>
      </c>
      <c r="L220" s="513"/>
      <c r="M220" s="512"/>
      <c r="N220" s="512"/>
    </row>
    <row r="221" spans="2:14">
      <c r="B221" s="515"/>
      <c r="C221" s="515"/>
      <c r="D221" s="515"/>
      <c r="E221" s="515"/>
      <c r="F221" s="515"/>
      <c r="G221" s="515"/>
      <c r="H221" s="515"/>
      <c r="I221" s="515"/>
      <c r="J221" s="515"/>
      <c r="K221" s="515"/>
      <c r="L221" s="513"/>
      <c r="M221" s="512"/>
      <c r="N221" s="512"/>
    </row>
    <row r="222" spans="2:14">
      <c r="B222" s="517" t="s">
        <v>175</v>
      </c>
      <c r="C222" s="515"/>
      <c r="D222" s="517" t="s">
        <v>163</v>
      </c>
      <c r="E222" s="515"/>
      <c r="F222" s="515"/>
      <c r="G222" s="515"/>
      <c r="H222" s="515"/>
      <c r="I222" s="515"/>
      <c r="J222" s="515"/>
      <c r="K222" s="515"/>
      <c r="L222" s="513" t="s">
        <v>667</v>
      </c>
      <c r="M222" s="513" t="s">
        <v>556</v>
      </c>
      <c r="N222" s="513" t="s">
        <v>523</v>
      </c>
    </row>
    <row r="223" spans="2:14">
      <c r="B223" s="515"/>
      <c r="C223" s="515"/>
      <c r="D223" s="515"/>
      <c r="E223" s="515"/>
      <c r="F223" s="515"/>
      <c r="G223" s="515"/>
      <c r="H223" s="515"/>
      <c r="I223" s="515"/>
      <c r="J223" s="515"/>
      <c r="K223" s="515"/>
      <c r="L223" s="513"/>
      <c r="M223" s="512"/>
      <c r="N223" s="512"/>
    </row>
    <row r="224" spans="2:14">
      <c r="B224" s="511" t="s">
        <v>539</v>
      </c>
      <c r="C224" s="509"/>
      <c r="D224" s="525" t="s">
        <v>533</v>
      </c>
      <c r="E224" s="526"/>
      <c r="F224" s="525" t="s">
        <v>198</v>
      </c>
      <c r="G224" s="509"/>
      <c r="H224" s="509"/>
      <c r="I224" s="509"/>
      <c r="J224" s="509"/>
      <c r="K224" s="509"/>
      <c r="L224" s="513"/>
      <c r="M224" s="512"/>
      <c r="N224" s="512"/>
    </row>
    <row r="225" spans="2:14">
      <c r="B225" s="517" t="s">
        <v>151</v>
      </c>
      <c r="C225" s="515" t="s">
        <v>37</v>
      </c>
      <c r="D225" s="518">
        <f>D190*$D$12*$K$5</f>
        <v>0</v>
      </c>
      <c r="E225" s="515"/>
      <c r="F225" s="518">
        <f>F190*$D$12*$K$5</f>
        <v>0</v>
      </c>
      <c r="G225" s="515"/>
      <c r="H225" s="515"/>
      <c r="I225" s="515"/>
      <c r="J225" s="515"/>
      <c r="K225" s="515"/>
      <c r="L225" s="513"/>
      <c r="M225" s="512"/>
      <c r="N225" s="512"/>
    </row>
    <row r="226" spans="2:14">
      <c r="B226" s="515"/>
      <c r="C226" s="515" t="s">
        <v>39</v>
      </c>
      <c r="D226" s="518">
        <f>D191*$D$12*$K$5</f>
        <v>0</v>
      </c>
      <c r="E226" s="515"/>
      <c r="F226" s="518">
        <f>F191*$D$12*$K$5</f>
        <v>0</v>
      </c>
      <c r="G226" s="515"/>
      <c r="H226" s="515"/>
      <c r="I226" s="515"/>
      <c r="J226" s="515"/>
      <c r="K226" s="515"/>
      <c r="L226" s="513"/>
      <c r="M226" s="512"/>
      <c r="N226" s="512"/>
    </row>
    <row r="227" spans="2:14">
      <c r="B227" s="515"/>
      <c r="C227" s="515" t="s">
        <v>40</v>
      </c>
      <c r="D227" s="518">
        <f>D192*$D$12*$K$5</f>
        <v>0</v>
      </c>
      <c r="E227" s="515"/>
      <c r="F227" s="518">
        <f>F192*$D$12*$K$5</f>
        <v>0</v>
      </c>
      <c r="G227" s="515"/>
      <c r="H227" s="515"/>
      <c r="I227" s="515"/>
      <c r="J227" s="515"/>
      <c r="K227" s="515"/>
      <c r="L227" s="513"/>
      <c r="M227" s="512"/>
      <c r="N227" s="512"/>
    </row>
    <row r="228" spans="2:14">
      <c r="B228" s="509"/>
      <c r="C228" s="509" t="s">
        <v>41</v>
      </c>
      <c r="D228" s="521">
        <f>D193*$D$12*$K$5</f>
        <v>0</v>
      </c>
      <c r="E228" s="509"/>
      <c r="F228" s="521">
        <f>F193*$D$12*$K$5</f>
        <v>0</v>
      </c>
      <c r="G228" s="509"/>
      <c r="H228" s="509"/>
      <c r="I228" s="509"/>
      <c r="J228" s="509"/>
      <c r="K228" s="509"/>
      <c r="L228" s="513"/>
      <c r="M228" s="512"/>
      <c r="N228" s="512"/>
    </row>
    <row r="229" spans="2:14">
      <c r="B229" s="517" t="s">
        <v>153</v>
      </c>
      <c r="C229" s="515" t="s">
        <v>37</v>
      </c>
      <c r="D229" s="518">
        <f>D194*$D$12*$K$5</f>
        <v>1.7678571428571425E-5</v>
      </c>
      <c r="E229" s="523"/>
      <c r="F229" s="518">
        <f>F194*$D$12*$K$5</f>
        <v>0</v>
      </c>
      <c r="G229" s="515"/>
      <c r="H229" s="515"/>
      <c r="I229" s="515"/>
      <c r="J229" s="515"/>
      <c r="K229" s="515"/>
      <c r="L229" s="513"/>
      <c r="M229" s="512"/>
      <c r="N229" s="512"/>
    </row>
    <row r="230" spans="2:14">
      <c r="B230" s="515"/>
      <c r="C230" s="515" t="s">
        <v>39</v>
      </c>
      <c r="D230" s="518">
        <f>D195*$D$12*$K$5</f>
        <v>0</v>
      </c>
      <c r="E230" s="523"/>
      <c r="F230" s="518">
        <f>F195*$D$12*$K$5</f>
        <v>0</v>
      </c>
      <c r="G230" s="515"/>
      <c r="H230" s="515"/>
      <c r="I230" s="515"/>
      <c r="J230" s="515"/>
      <c r="K230" s="515"/>
      <c r="L230" s="513"/>
      <c r="M230" s="512"/>
      <c r="N230" s="512"/>
    </row>
    <row r="231" spans="2:14">
      <c r="B231" s="515"/>
      <c r="C231" s="515" t="s">
        <v>40</v>
      </c>
      <c r="D231" s="518">
        <f>D196*$D$12*$K$5</f>
        <v>0</v>
      </c>
      <c r="E231" s="523"/>
      <c r="F231" s="518">
        <f>F196*$D$12*$K$5</f>
        <v>0</v>
      </c>
      <c r="G231" s="515"/>
      <c r="H231" s="515"/>
      <c r="I231" s="515"/>
      <c r="J231" s="515"/>
      <c r="K231" s="515"/>
      <c r="L231" s="513"/>
      <c r="M231" s="512"/>
      <c r="N231" s="512"/>
    </row>
    <row r="232" spans="2:14" s="527" customFormat="1">
      <c r="B232" s="509"/>
      <c r="C232" s="509" t="s">
        <v>41</v>
      </c>
      <c r="D232" s="521">
        <f>D197*$D$12*$K$5</f>
        <v>0</v>
      </c>
      <c r="E232" s="528"/>
      <c r="F232" s="521">
        <f>F197*$D$12*$K$5</f>
        <v>0</v>
      </c>
      <c r="G232" s="509"/>
      <c r="H232" s="509"/>
      <c r="I232" s="509"/>
      <c r="J232" s="509"/>
      <c r="K232" s="509"/>
      <c r="L232" s="507"/>
      <c r="M232" s="506"/>
      <c r="N232" s="506"/>
    </row>
    <row r="233" spans="2:14">
      <c r="B233" s="517" t="s">
        <v>675</v>
      </c>
      <c r="C233" s="515"/>
      <c r="D233" s="518"/>
      <c r="E233" s="519"/>
      <c r="F233" s="518"/>
      <c r="G233" s="515"/>
      <c r="H233" s="515"/>
      <c r="I233" s="515"/>
      <c r="J233" s="515"/>
      <c r="K233" s="515"/>
      <c r="L233" s="513"/>
      <c r="M233" s="512"/>
      <c r="N233" s="512"/>
    </row>
    <row r="234" spans="2:14">
      <c r="B234" s="515"/>
      <c r="C234" s="515" t="s">
        <v>37</v>
      </c>
      <c r="D234" s="518">
        <f>D199*$D$12*$K$5</f>
        <v>2.8203265051752672E-5</v>
      </c>
      <c r="E234" s="519"/>
      <c r="F234" s="518"/>
      <c r="G234" s="515"/>
      <c r="H234" s="515"/>
      <c r="I234" s="515"/>
      <c r="J234" s="515"/>
      <c r="K234" s="515"/>
      <c r="L234" s="513"/>
      <c r="M234" s="512"/>
      <c r="N234" s="512"/>
    </row>
    <row r="235" spans="2:14">
      <c r="B235" s="515"/>
      <c r="C235" s="515" t="s">
        <v>39</v>
      </c>
      <c r="D235" s="518">
        <f>D200*$D$12*$K$5</f>
        <v>8.8697625699574677E-6</v>
      </c>
      <c r="E235" s="519"/>
      <c r="F235" s="518"/>
      <c r="G235" s="515"/>
      <c r="H235" s="515"/>
      <c r="I235" s="515"/>
      <c r="J235" s="515"/>
      <c r="K235" s="515"/>
      <c r="L235" s="513"/>
      <c r="M235" s="512"/>
      <c r="N235" s="512"/>
    </row>
    <row r="236" spans="2:14">
      <c r="B236" s="515"/>
      <c r="C236" s="515" t="s">
        <v>40</v>
      </c>
      <c r="D236" s="518">
        <f>D201*$D$12*$K$5</f>
        <v>1.9581036345315074E-5</v>
      </c>
      <c r="E236" s="519"/>
      <c r="F236" s="518"/>
      <c r="G236" s="515"/>
      <c r="H236" s="515"/>
      <c r="I236" s="515"/>
      <c r="J236" s="515"/>
      <c r="K236" s="515"/>
      <c r="L236" s="513"/>
      <c r="M236" s="512"/>
      <c r="N236" s="512"/>
    </row>
    <row r="237" spans="2:14" s="527" customFormat="1">
      <c r="B237" s="509"/>
      <c r="C237" s="509" t="s">
        <v>41</v>
      </c>
      <c r="D237" s="518">
        <f>D202*$D$12*$K$5</f>
        <v>1.108161766796736E-5</v>
      </c>
      <c r="E237" s="528"/>
      <c r="F237" s="521"/>
      <c r="G237" s="509"/>
      <c r="H237" s="509"/>
      <c r="I237" s="509"/>
      <c r="J237" s="509"/>
      <c r="K237" s="509"/>
      <c r="L237" s="507"/>
      <c r="M237" s="506"/>
      <c r="N237" s="506"/>
    </row>
    <row r="238" spans="2:14">
      <c r="B238" s="511" t="s">
        <v>668</v>
      </c>
      <c r="C238" s="509"/>
      <c r="D238" s="525" t="s">
        <v>533</v>
      </c>
      <c r="E238" s="526"/>
      <c r="F238" s="525" t="s">
        <v>198</v>
      </c>
      <c r="G238" s="509"/>
      <c r="H238" s="509"/>
      <c r="I238" s="509"/>
      <c r="J238" s="509"/>
      <c r="K238" s="509"/>
      <c r="L238" s="513"/>
      <c r="M238" s="512"/>
      <c r="N238" s="512"/>
    </row>
    <row r="239" spans="2:14">
      <c r="B239" s="517" t="s">
        <v>151</v>
      </c>
      <c r="C239" s="515" t="s">
        <v>37</v>
      </c>
      <c r="D239" s="518">
        <f>D213*$D$12*$K$5</f>
        <v>0</v>
      </c>
      <c r="E239" s="515"/>
      <c r="F239" s="518">
        <f>F213*$D$12*$K$5</f>
        <v>0</v>
      </c>
      <c r="G239" s="515"/>
      <c r="H239" s="515"/>
      <c r="I239" s="515"/>
      <c r="J239" s="524"/>
      <c r="K239" s="515"/>
      <c r="L239" s="513"/>
      <c r="M239" s="512"/>
      <c r="N239" s="512"/>
    </row>
    <row r="240" spans="2:14">
      <c r="B240" s="515"/>
      <c r="C240" s="515" t="s">
        <v>39</v>
      </c>
      <c r="D240" s="518">
        <f>D214*$D$12*$K$5</f>
        <v>0</v>
      </c>
      <c r="E240" s="515"/>
      <c r="F240" s="518">
        <f>F214*$D$12*$K$5</f>
        <v>0</v>
      </c>
      <c r="G240" s="515"/>
      <c r="H240" s="515"/>
      <c r="I240" s="515"/>
      <c r="J240" s="515"/>
      <c r="K240" s="515"/>
      <c r="L240" s="513"/>
      <c r="M240" s="513"/>
      <c r="N240" s="513"/>
    </row>
    <row r="241" spans="2:14">
      <c r="B241" s="515"/>
      <c r="C241" s="515" t="s">
        <v>40</v>
      </c>
      <c r="D241" s="518">
        <f>D215*$D$12*$K$5</f>
        <v>0</v>
      </c>
      <c r="E241" s="515"/>
      <c r="F241" s="518">
        <f>F215*$D$12*$K$5</f>
        <v>0</v>
      </c>
      <c r="G241" s="515"/>
      <c r="H241" s="515"/>
      <c r="I241" s="515"/>
      <c r="J241" s="515"/>
      <c r="K241" s="515"/>
      <c r="L241" s="513"/>
      <c r="M241" s="512"/>
      <c r="N241" s="512"/>
    </row>
    <row r="242" spans="2:14">
      <c r="B242" s="509"/>
      <c r="C242" s="509" t="s">
        <v>41</v>
      </c>
      <c r="D242" s="521">
        <f>D216*$D$12*$K$5</f>
        <v>0</v>
      </c>
      <c r="E242" s="509"/>
      <c r="F242" s="521">
        <f>F216*$D$12*$K$5</f>
        <v>0</v>
      </c>
      <c r="G242" s="509"/>
      <c r="H242" s="508"/>
      <c r="I242" s="509"/>
      <c r="J242" s="509"/>
      <c r="K242" s="509"/>
      <c r="L242" s="513"/>
      <c r="M242" s="512"/>
      <c r="N242" s="512"/>
    </row>
    <row r="243" spans="2:14">
      <c r="B243" s="517" t="s">
        <v>153</v>
      </c>
      <c r="C243" s="515" t="s">
        <v>37</v>
      </c>
      <c r="D243" s="518">
        <f>D217*$D$12*$K$5</f>
        <v>0</v>
      </c>
      <c r="E243" s="523"/>
      <c r="F243" s="518">
        <f>F217*$D$12*$K$5</f>
        <v>0</v>
      </c>
      <c r="G243" s="515"/>
      <c r="H243" s="515"/>
      <c r="I243" s="515"/>
      <c r="J243" s="515"/>
      <c r="K243" s="515"/>
      <c r="L243" s="513"/>
      <c r="M243" s="512"/>
      <c r="N243" s="512"/>
    </row>
    <row r="244" spans="2:14">
      <c r="B244" s="515"/>
      <c r="C244" s="515" t="s">
        <v>39</v>
      </c>
      <c r="D244" s="518">
        <f>D218*$D$12*$K$5</f>
        <v>0</v>
      </c>
      <c r="E244" s="523"/>
      <c r="F244" s="518">
        <f>F218*$D$12*$K$5</f>
        <v>0</v>
      </c>
      <c r="G244" s="515"/>
      <c r="H244" s="515"/>
      <c r="I244" s="515"/>
      <c r="J244" s="515"/>
      <c r="K244" s="515"/>
      <c r="L244" s="513"/>
      <c r="M244" s="512"/>
      <c r="N244" s="512"/>
    </row>
    <row r="245" spans="2:14">
      <c r="B245" s="515"/>
      <c r="C245" s="515" t="s">
        <v>40</v>
      </c>
      <c r="D245" s="518">
        <f>D219*$D$12*$K$5</f>
        <v>0</v>
      </c>
      <c r="E245" s="523"/>
      <c r="F245" s="518">
        <f>F219*$D$12*$K$5</f>
        <v>0</v>
      </c>
      <c r="G245" s="515"/>
      <c r="H245" s="515"/>
      <c r="I245" s="515"/>
      <c r="J245" s="515"/>
      <c r="K245" s="515"/>
      <c r="L245" s="513"/>
      <c r="M245" s="512"/>
      <c r="N245" s="512"/>
    </row>
    <row r="246" spans="2:14">
      <c r="B246" s="509"/>
      <c r="C246" s="509" t="s">
        <v>41</v>
      </c>
      <c r="D246" s="521">
        <f>D220*$D$12*$K$5</f>
        <v>0</v>
      </c>
      <c r="E246" s="522"/>
      <c r="F246" s="521">
        <f>F220*$D$12*$K$5</f>
        <v>0</v>
      </c>
      <c r="G246" s="509"/>
      <c r="H246" s="509"/>
      <c r="I246" s="509"/>
      <c r="J246" s="509"/>
      <c r="K246" s="509"/>
      <c r="L246" s="513"/>
      <c r="M246" s="512"/>
      <c r="N246" s="512"/>
    </row>
    <row r="247" spans="2:14">
      <c r="B247" s="515"/>
      <c r="C247" s="515"/>
      <c r="D247" s="520"/>
      <c r="E247" s="519"/>
      <c r="F247" s="517"/>
      <c r="G247" s="515"/>
      <c r="H247" s="515"/>
      <c r="I247" s="515"/>
      <c r="J247" s="515"/>
      <c r="K247" s="515"/>
      <c r="L247" s="513"/>
      <c r="M247" s="512"/>
      <c r="N247" s="512"/>
    </row>
    <row r="248" spans="2:14">
      <c r="B248" s="517" t="s">
        <v>674</v>
      </c>
      <c r="C248" s="518">
        <f>SUM(D225:D228,F225:F228,D229:D232,F229:F232,D239:D242,F239:F242,D243:D246,F243:F246)+SUM(D234:D237)</f>
        <v>8.5414253063564006E-5</v>
      </c>
      <c r="D248" s="515"/>
      <c r="E248" s="515"/>
      <c r="F248" s="515"/>
      <c r="G248" s="515"/>
      <c r="H248" s="515"/>
      <c r="I248" s="515"/>
      <c r="J248" s="515"/>
      <c r="K248" s="514" t="s">
        <v>140</v>
      </c>
      <c r="L248" s="513"/>
      <c r="M248" s="512"/>
      <c r="N248" s="512"/>
    </row>
    <row r="249" spans="2:14">
      <c r="B249" s="517" t="s">
        <v>674</v>
      </c>
      <c r="C249" s="516">
        <f>C248*GWP!C6</f>
        <v>2.5453447412942073E-2</v>
      </c>
      <c r="D249" s="515"/>
      <c r="E249" s="515"/>
      <c r="F249" s="515"/>
      <c r="G249" s="515"/>
      <c r="H249" s="515"/>
      <c r="I249" s="515"/>
      <c r="J249" s="515"/>
      <c r="K249" s="514" t="s">
        <v>93</v>
      </c>
      <c r="L249" s="513"/>
      <c r="M249" s="512"/>
      <c r="N249" s="512"/>
    </row>
    <row r="250" spans="2:14">
      <c r="B250" s="511" t="s">
        <v>674</v>
      </c>
      <c r="C250" s="510">
        <f>C249*10^3</f>
        <v>25.453447412942072</v>
      </c>
      <c r="D250" s="509"/>
      <c r="E250" s="509"/>
      <c r="F250" s="509"/>
      <c r="G250" s="509"/>
      <c r="H250" s="509"/>
      <c r="I250" s="509"/>
      <c r="J250" s="509"/>
      <c r="K250" s="508" t="s">
        <v>94</v>
      </c>
      <c r="L250" s="507"/>
      <c r="M250" s="506"/>
      <c r="N250" s="506"/>
    </row>
    <row r="254" spans="2:14">
      <c r="L254" s="505"/>
    </row>
  </sheetData>
  <sheetProtection sheet="1" objects="1" scenarios="1"/>
  <pageMargins left="0.75" right="0.75" top="1" bottom="1" header="0.5" footer="0.5"/>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
  <sheetViews>
    <sheetView workbookViewId="0"/>
  </sheetViews>
  <sheetFormatPr defaultColWidth="10.796875" defaultRowHeight="12.75"/>
  <cols>
    <col min="1" max="1" width="2" style="402" customWidth="1"/>
    <col min="2" max="4" width="10.796875" style="402"/>
    <col min="5" max="5" width="18.796875" style="402" customWidth="1"/>
    <col min="6" max="6" width="40.46484375" style="402" customWidth="1"/>
    <col min="7" max="7" width="20.6640625" style="402" customWidth="1"/>
    <col min="8" max="8" width="21.33203125" style="402" customWidth="1"/>
    <col min="9" max="9" width="19.6640625" style="402" customWidth="1"/>
    <col min="10" max="16384" width="10.796875" style="402"/>
  </cols>
  <sheetData>
    <row r="1" spans="1:9" ht="17.25">
      <c r="A1" s="400" t="s">
        <v>568</v>
      </c>
      <c r="B1" s="400"/>
      <c r="C1" s="401"/>
      <c r="D1" s="401"/>
      <c r="E1" s="401"/>
      <c r="F1" s="401"/>
      <c r="G1" s="401"/>
      <c r="H1" s="401"/>
      <c r="I1" s="401"/>
    </row>
    <row r="2" spans="1:9" ht="15">
      <c r="A2" s="401"/>
      <c r="B2" s="403" t="s">
        <v>56</v>
      </c>
      <c r="C2" s="403"/>
      <c r="D2" s="403" t="s">
        <v>569</v>
      </c>
      <c r="E2" s="403"/>
      <c r="F2" s="417" t="s">
        <v>11</v>
      </c>
      <c r="G2" s="404" t="s">
        <v>187</v>
      </c>
      <c r="H2" s="404" t="s">
        <v>570</v>
      </c>
      <c r="I2" s="404" t="s">
        <v>522</v>
      </c>
    </row>
    <row r="3" spans="1:9" ht="15.4">
      <c r="A3" s="401"/>
      <c r="B3" s="405"/>
      <c r="C3" s="405"/>
      <c r="D3" s="405"/>
      <c r="E3" s="405"/>
      <c r="F3" s="408"/>
      <c r="G3" s="406"/>
      <c r="H3" s="406"/>
      <c r="I3" s="406"/>
    </row>
    <row r="4" spans="1:9" ht="15.4">
      <c r="A4" s="401"/>
      <c r="B4" s="405" t="s">
        <v>571</v>
      </c>
      <c r="C4" s="405"/>
      <c r="D4" s="405"/>
      <c r="E4" s="407">
        <f>'Data input'!D95</f>
        <v>5</v>
      </c>
      <c r="F4" s="408" t="s">
        <v>561</v>
      </c>
      <c r="G4" s="406"/>
      <c r="H4" s="406"/>
      <c r="I4" s="406"/>
    </row>
    <row r="5" spans="1:9" ht="15.4">
      <c r="A5" s="401"/>
      <c r="B5" s="405" t="s">
        <v>572</v>
      </c>
      <c r="C5" s="405"/>
      <c r="D5" s="405"/>
      <c r="E5" s="407">
        <f>'Data input'!D96</f>
        <v>0.7</v>
      </c>
      <c r="F5" s="408"/>
      <c r="G5" s="406"/>
      <c r="H5" s="406"/>
      <c r="I5" s="406"/>
    </row>
    <row r="6" spans="1:9" ht="15.4">
      <c r="A6" s="401"/>
      <c r="B6" s="405" t="s">
        <v>573</v>
      </c>
      <c r="C6" s="405"/>
      <c r="D6" s="405"/>
      <c r="E6" s="407">
        <v>0.9</v>
      </c>
      <c r="F6" s="408"/>
      <c r="G6" s="406"/>
      <c r="H6" s="406"/>
      <c r="I6" s="406"/>
    </row>
    <row r="7" spans="1:9" ht="15.4">
      <c r="A7" s="401"/>
      <c r="B7" s="405" t="s">
        <v>574</v>
      </c>
      <c r="C7" s="405"/>
      <c r="D7" s="405"/>
      <c r="E7" s="407">
        <v>0.95</v>
      </c>
      <c r="F7" s="408"/>
      <c r="G7" s="406"/>
      <c r="H7" s="406"/>
      <c r="I7" s="406"/>
    </row>
    <row r="8" spans="1:9" ht="15.4">
      <c r="A8" s="401"/>
      <c r="B8" s="405" t="s">
        <v>575</v>
      </c>
      <c r="C8" s="405"/>
      <c r="D8" s="405"/>
      <c r="E8" s="407">
        <v>0.12</v>
      </c>
      <c r="F8" s="408"/>
      <c r="G8" s="406"/>
      <c r="H8" s="406"/>
      <c r="I8" s="406"/>
    </row>
    <row r="9" spans="1:9" ht="15.4">
      <c r="A9" s="401"/>
      <c r="B9" s="405" t="s">
        <v>576</v>
      </c>
      <c r="C9" s="405"/>
      <c r="D9" s="405"/>
      <c r="E9" s="407">
        <v>0.13</v>
      </c>
      <c r="F9" s="408"/>
      <c r="G9" s="406"/>
      <c r="H9" s="406"/>
      <c r="I9" s="406"/>
    </row>
    <row r="10" spans="1:9" ht="15.4">
      <c r="A10" s="401"/>
      <c r="B10" s="405" t="s">
        <v>541</v>
      </c>
      <c r="C10" s="405"/>
      <c r="D10" s="405"/>
      <c r="E10" s="409">
        <f>GWP!C13</f>
        <v>3.6666666666666665</v>
      </c>
      <c r="F10" s="408"/>
      <c r="G10" s="406"/>
      <c r="H10" s="406"/>
      <c r="I10" s="406"/>
    </row>
    <row r="11" spans="1:9" ht="15.4">
      <c r="A11" s="401"/>
      <c r="B11" s="405"/>
      <c r="C11" s="405"/>
      <c r="D11" s="405"/>
      <c r="E11" s="405"/>
      <c r="F11" s="408"/>
      <c r="G11" s="406"/>
      <c r="H11" s="406"/>
      <c r="I11" s="406"/>
    </row>
    <row r="12" spans="1:9" ht="15.4">
      <c r="A12" s="401"/>
      <c r="B12" s="405" t="s">
        <v>577</v>
      </c>
      <c r="C12" s="405"/>
      <c r="D12" s="405"/>
      <c r="E12" s="405"/>
      <c r="F12" s="408"/>
      <c r="G12" s="410" t="s">
        <v>622</v>
      </c>
      <c r="H12" s="411" t="s">
        <v>578</v>
      </c>
      <c r="I12" s="411" t="s">
        <v>623</v>
      </c>
    </row>
    <row r="13" spans="1:9" ht="15.4">
      <c r="A13" s="401"/>
      <c r="B13" s="405"/>
      <c r="C13" s="405"/>
      <c r="D13" s="405"/>
      <c r="E13" s="405"/>
      <c r="F13" s="408"/>
      <c r="G13" s="406"/>
      <c r="H13" s="406"/>
      <c r="I13" s="406"/>
    </row>
    <row r="14" spans="1:9" ht="15.4">
      <c r="A14" s="401"/>
      <c r="B14" s="405" t="s">
        <v>579</v>
      </c>
      <c r="C14" s="405"/>
      <c r="D14" s="405"/>
      <c r="E14" s="412">
        <f>(((SUM(E4:E4)*E5*E6*E8)+((SUM(E4:E4))*(1-E5)*E7*E9)))*(E10/1000)</f>
        <v>2.0652500000000002E-3</v>
      </c>
      <c r="F14" s="408" t="s">
        <v>162</v>
      </c>
      <c r="G14" s="406"/>
      <c r="H14" s="406"/>
      <c r="I14" s="406"/>
    </row>
    <row r="15" spans="1:9" ht="15">
      <c r="A15" s="401"/>
      <c r="B15" s="413" t="s">
        <v>579</v>
      </c>
      <c r="C15" s="413"/>
      <c r="D15" s="413"/>
      <c r="E15" s="414">
        <f>E14*10^3</f>
        <v>2.0652500000000003</v>
      </c>
      <c r="F15" s="415" t="s">
        <v>624</v>
      </c>
      <c r="G15" s="416"/>
      <c r="H15" s="416"/>
      <c r="I15" s="416"/>
    </row>
    <row r="16" spans="1:9">
      <c r="A16" s="401"/>
      <c r="B16" s="401"/>
      <c r="C16" s="401"/>
      <c r="D16" s="401"/>
      <c r="E16" s="401"/>
      <c r="F16" s="401"/>
      <c r="G16" s="401"/>
      <c r="H16" s="401"/>
      <c r="I16" s="401"/>
    </row>
    <row r="17" spans="1:9">
      <c r="A17" s="401"/>
      <c r="B17" s="401"/>
      <c r="C17" s="401"/>
      <c r="D17" s="401"/>
      <c r="E17" s="401"/>
      <c r="F17" s="401"/>
      <c r="G17" s="401"/>
      <c r="H17" s="401"/>
      <c r="I17" s="401"/>
    </row>
    <row r="18" spans="1:9">
      <c r="A18" s="401"/>
      <c r="B18" s="401"/>
      <c r="C18" s="401"/>
      <c r="D18" s="401"/>
      <c r="E18" s="401"/>
      <c r="F18" s="401"/>
      <c r="G18" s="401"/>
      <c r="H18" s="401"/>
      <c r="I18" s="401"/>
    </row>
    <row r="19" spans="1:9">
      <c r="A19" s="401"/>
      <c r="B19" s="401"/>
      <c r="C19" s="401"/>
      <c r="D19" s="401"/>
      <c r="E19" s="401"/>
      <c r="F19" s="401"/>
      <c r="G19" s="401"/>
      <c r="H19" s="401"/>
      <c r="I19" s="401"/>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22"/>
  <sheetViews>
    <sheetView workbookViewId="0"/>
  </sheetViews>
  <sheetFormatPr defaultColWidth="9" defaultRowHeight="15.4"/>
  <cols>
    <col min="1" max="1" width="3.6640625" style="373" customWidth="1"/>
    <col min="2" max="2" width="39.796875" style="373" customWidth="1"/>
    <col min="3" max="4" width="18.796875" style="373" customWidth="1"/>
    <col min="5" max="5" width="14.1328125" style="373" customWidth="1"/>
    <col min="6" max="6" width="21.6640625" style="373" customWidth="1"/>
    <col min="7" max="7" width="17.33203125" style="373" customWidth="1"/>
    <col min="8" max="8" width="17.46484375" style="373" customWidth="1"/>
    <col min="9" max="16384" width="9" style="373"/>
  </cols>
  <sheetData>
    <row r="1" spans="2:8" ht="17.25">
      <c r="B1" s="400" t="s">
        <v>636</v>
      </c>
    </row>
    <row r="3" spans="2:8">
      <c r="B3" s="436" t="s">
        <v>549</v>
      </c>
      <c r="C3" s="437" t="str">
        <f>'Data input'!D73</f>
        <v>Dryland</v>
      </c>
      <c r="D3" s="437" t="str">
        <f>'Data input'!F73</f>
        <v>Irrigated</v>
      </c>
      <c r="E3" s="438" t="s">
        <v>11</v>
      </c>
      <c r="F3" s="439" t="s">
        <v>187</v>
      </c>
      <c r="G3" s="440" t="s">
        <v>570</v>
      </c>
      <c r="H3" s="439" t="s">
        <v>522</v>
      </c>
    </row>
    <row r="4" spans="2:8">
      <c r="B4" s="441"/>
      <c r="C4" s="442"/>
      <c r="D4" s="442"/>
      <c r="E4" s="441"/>
      <c r="F4" s="443"/>
      <c r="G4" s="443"/>
      <c r="H4" s="443"/>
    </row>
    <row r="5" spans="2:8">
      <c r="B5" s="466" t="s">
        <v>645</v>
      </c>
      <c r="C5" s="468">
        <f>'Data input'!D63</f>
        <v>100</v>
      </c>
      <c r="D5" s="468">
        <f>'Data input'!F63</f>
        <v>0</v>
      </c>
      <c r="E5" s="469" t="s">
        <v>23</v>
      </c>
      <c r="F5" s="444"/>
      <c r="G5" s="443"/>
      <c r="H5" s="443"/>
    </row>
    <row r="6" spans="2:8">
      <c r="B6" s="470" t="s">
        <v>646</v>
      </c>
      <c r="C6" s="442">
        <f>'Data input'!D64</f>
        <v>100</v>
      </c>
      <c r="D6" s="442">
        <f>'Data input'!F64</f>
        <v>0</v>
      </c>
      <c r="E6" s="471" t="s">
        <v>23</v>
      </c>
      <c r="F6" s="444"/>
      <c r="G6" s="443"/>
      <c r="H6" s="443"/>
    </row>
    <row r="7" spans="2:8">
      <c r="B7" s="470" t="s">
        <v>647</v>
      </c>
      <c r="C7" s="442">
        <f>'Data input'!D92</f>
        <v>0</v>
      </c>
      <c r="D7" s="442">
        <f>'Data input'!F92</f>
        <v>0</v>
      </c>
      <c r="E7" s="471" t="s">
        <v>649</v>
      </c>
      <c r="F7" s="444"/>
      <c r="G7" s="443"/>
      <c r="H7" s="443"/>
    </row>
    <row r="8" spans="2:8">
      <c r="B8" s="472" t="s">
        <v>648</v>
      </c>
      <c r="C8" s="473">
        <f>'Data input'!D93</f>
        <v>50</v>
      </c>
      <c r="D8" s="473">
        <f>'Data input'!F93</f>
        <v>0</v>
      </c>
      <c r="E8" s="474" t="s">
        <v>649</v>
      </c>
      <c r="F8" s="444"/>
      <c r="G8" s="443"/>
      <c r="H8" s="443"/>
    </row>
    <row r="9" spans="2:8">
      <c r="B9" s="445"/>
      <c r="C9" s="442"/>
      <c r="D9" s="442"/>
      <c r="E9" s="446"/>
      <c r="F9" s="444"/>
      <c r="G9" s="443"/>
      <c r="H9" s="443"/>
    </row>
    <row r="10" spans="2:8">
      <c r="B10" s="449" t="s">
        <v>637</v>
      </c>
      <c r="C10" s="473">
        <f>((C5+C6)*(C7+C8))*10^-3</f>
        <v>10</v>
      </c>
      <c r="D10" s="442">
        <f>((D5+D6)*(D7+D8))*10^-3</f>
        <v>0</v>
      </c>
      <c r="E10" s="446" t="s">
        <v>638</v>
      </c>
      <c r="F10" s="444"/>
      <c r="G10" s="443"/>
      <c r="H10" s="443"/>
    </row>
    <row r="11" spans="2:8">
      <c r="B11" s="445"/>
      <c r="C11" s="445"/>
      <c r="D11" s="447"/>
      <c r="E11" s="448"/>
      <c r="F11" s="444"/>
      <c r="G11" s="443"/>
      <c r="H11" s="443"/>
    </row>
    <row r="12" spans="2:8">
      <c r="B12" s="449"/>
      <c r="C12" s="449"/>
      <c r="D12" s="449"/>
      <c r="E12" s="450"/>
      <c r="F12" s="444"/>
      <c r="G12" s="443"/>
      <c r="H12" s="443"/>
    </row>
    <row r="13" spans="2:8">
      <c r="B13" s="451" t="s">
        <v>144</v>
      </c>
      <c r="C13" s="442"/>
      <c r="D13" s="452"/>
      <c r="E13" s="446"/>
      <c r="F13" s="444"/>
      <c r="G13" s="443"/>
      <c r="H13" s="443"/>
    </row>
    <row r="14" spans="2:8">
      <c r="B14" s="451" t="s">
        <v>145</v>
      </c>
      <c r="C14" s="453" t="s">
        <v>639</v>
      </c>
      <c r="D14" s="442"/>
      <c r="E14" s="446"/>
      <c r="F14" s="454"/>
      <c r="G14" s="454" t="s">
        <v>640</v>
      </c>
      <c r="H14" s="454" t="s">
        <v>623</v>
      </c>
    </row>
    <row r="15" spans="2:8">
      <c r="B15" s="455"/>
      <c r="C15" s="456" t="s">
        <v>641</v>
      </c>
      <c r="D15" s="456"/>
      <c r="E15" s="446"/>
      <c r="F15" s="457"/>
      <c r="G15" s="443"/>
      <c r="H15" s="443"/>
    </row>
    <row r="16" spans="2:8">
      <c r="B16" s="445"/>
      <c r="C16" s="456" t="s">
        <v>642</v>
      </c>
      <c r="D16" s="456">
        <v>0.2</v>
      </c>
      <c r="E16" s="446"/>
      <c r="F16" s="454"/>
      <c r="G16" s="443"/>
      <c r="H16" s="443"/>
    </row>
    <row r="17" spans="2:8">
      <c r="B17" s="445"/>
      <c r="C17" s="455" t="s">
        <v>643</v>
      </c>
      <c r="D17" s="456">
        <f>GWP!C13</f>
        <v>3.6666666666666665</v>
      </c>
      <c r="E17" s="446"/>
      <c r="F17" s="444"/>
      <c r="G17" s="443"/>
      <c r="H17" s="443"/>
    </row>
    <row r="18" spans="2:8">
      <c r="B18" s="445"/>
      <c r="C18" s="458">
        <f>(C10*$D$16*$D$17)*10^-3</f>
        <v>7.3333333333333332E-3</v>
      </c>
      <c r="D18" s="458">
        <f>(D10*$D$16*$D$17)*10^-3</f>
        <v>0</v>
      </c>
      <c r="E18" s="446" t="s">
        <v>644</v>
      </c>
      <c r="F18" s="444"/>
      <c r="G18" s="443"/>
      <c r="H18" s="443"/>
    </row>
    <row r="19" spans="2:8">
      <c r="B19" s="455"/>
      <c r="C19" s="442"/>
      <c r="D19" s="446"/>
      <c r="E19" s="459"/>
      <c r="F19" s="444"/>
      <c r="G19" s="443"/>
      <c r="H19" s="443"/>
    </row>
    <row r="20" spans="2:8">
      <c r="B20" s="460" t="s">
        <v>161</v>
      </c>
      <c r="C20" s="452">
        <f>SUM(C18:D18)</f>
        <v>7.3333333333333332E-3</v>
      </c>
      <c r="D20" s="461"/>
      <c r="E20" s="446" t="str">
        <f>E18</f>
        <v>Gg CO2e</v>
      </c>
      <c r="F20" s="443"/>
      <c r="G20" s="443"/>
      <c r="H20" s="443"/>
    </row>
    <row r="21" spans="2:8">
      <c r="B21" s="460"/>
      <c r="C21" s="452"/>
      <c r="D21" s="452"/>
      <c r="E21" s="446"/>
      <c r="F21" s="443"/>
      <c r="G21" s="443"/>
      <c r="H21" s="443"/>
    </row>
    <row r="22" spans="2:8">
      <c r="B22" s="462" t="s">
        <v>161</v>
      </c>
      <c r="C22" s="463">
        <f>C20*10^3</f>
        <v>7.333333333333333</v>
      </c>
      <c r="D22" s="449"/>
      <c r="E22" s="464" t="s">
        <v>179</v>
      </c>
      <c r="F22" s="465"/>
      <c r="G22" s="465"/>
      <c r="H22" s="465"/>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42"/>
  <sheetViews>
    <sheetView showGridLines="0" zoomScale="80" zoomScaleNormal="80" zoomScalePageLayoutView="80" workbookViewId="0"/>
  </sheetViews>
  <sheetFormatPr defaultColWidth="8.796875" defaultRowHeight="15.4"/>
  <cols>
    <col min="1" max="1" width="3" style="215" customWidth="1"/>
    <col min="2" max="2" width="38.46484375" style="215" customWidth="1"/>
    <col min="3" max="3" width="17.46484375" style="215" bestFit="1" customWidth="1"/>
    <col min="4" max="4" width="10.46484375" style="215" customWidth="1"/>
    <col min="5" max="5" width="11.1328125" style="215" customWidth="1"/>
    <col min="6" max="8" width="9.6640625" style="215" bestFit="1" customWidth="1"/>
    <col min="9" max="9" width="36.796875" style="215" customWidth="1"/>
    <col min="10" max="10" width="12" style="215" customWidth="1"/>
    <col min="11" max="20" width="12.6640625" style="215" customWidth="1"/>
    <col min="21" max="21" width="8.796875" style="215"/>
    <col min="22" max="30" width="15.6640625" style="215" customWidth="1"/>
    <col min="31" max="16384" width="8.796875" style="215"/>
  </cols>
  <sheetData>
    <row r="1" spans="1:32" ht="25.8" customHeight="1">
      <c r="A1" s="216"/>
      <c r="B1" s="309" t="s">
        <v>176</v>
      </c>
      <c r="C1" s="216"/>
      <c r="D1" s="216"/>
      <c r="E1" s="216"/>
      <c r="F1" s="216"/>
      <c r="G1" s="216"/>
      <c r="H1" s="216"/>
      <c r="I1" s="216"/>
      <c r="J1" s="216"/>
      <c r="K1" s="218"/>
      <c r="L1" s="218"/>
      <c r="M1" s="218"/>
      <c r="N1" s="218"/>
      <c r="O1" s="218"/>
      <c r="P1" s="218"/>
      <c r="Q1" s="218"/>
      <c r="R1" s="218"/>
      <c r="S1" s="216"/>
      <c r="T1" s="216"/>
      <c r="U1" s="216"/>
      <c r="V1" s="216"/>
      <c r="W1" s="216"/>
      <c r="X1" s="216"/>
      <c r="Y1" s="216"/>
      <c r="Z1" s="216"/>
      <c r="AA1" s="216"/>
      <c r="AB1" s="216"/>
      <c r="AC1" s="216"/>
      <c r="AD1" s="216"/>
      <c r="AE1" s="216"/>
      <c r="AF1" s="216"/>
    </row>
    <row r="2" spans="1:32" ht="17.25" customHeight="1">
      <c r="A2" s="219"/>
      <c r="B2" s="217"/>
      <c r="C2" s="216"/>
      <c r="D2" s="216"/>
      <c r="E2" s="216"/>
      <c r="F2" s="216"/>
      <c r="G2" s="216"/>
      <c r="H2" s="216"/>
      <c r="I2" s="216"/>
      <c r="J2" s="220"/>
      <c r="K2" s="220"/>
      <c r="L2" s="220"/>
      <c r="M2" s="220"/>
      <c r="N2" s="220"/>
      <c r="O2" s="220"/>
      <c r="P2" s="220"/>
      <c r="Q2" s="220"/>
      <c r="R2" s="220"/>
      <c r="S2" s="220"/>
      <c r="T2" s="216"/>
      <c r="U2" s="216"/>
      <c r="V2" s="216"/>
      <c r="W2" s="216"/>
      <c r="X2" s="216"/>
      <c r="Y2" s="216"/>
      <c r="Z2" s="216"/>
      <c r="AA2" s="216"/>
      <c r="AB2" s="216"/>
      <c r="AC2" s="216"/>
      <c r="AD2" s="216"/>
      <c r="AE2" s="216"/>
      <c r="AF2" s="216"/>
    </row>
    <row r="3" spans="1:32" ht="17.25">
      <c r="A3" s="216"/>
      <c r="B3" s="221" t="s">
        <v>215</v>
      </c>
      <c r="C3" s="222"/>
      <c r="D3" s="222"/>
      <c r="E3" s="222"/>
      <c r="F3" s="222"/>
      <c r="G3" s="222"/>
      <c r="H3" s="222"/>
      <c r="I3" s="223"/>
      <c r="J3" s="220"/>
      <c r="K3" s="224" t="s">
        <v>182</v>
      </c>
      <c r="L3" s="225"/>
      <c r="M3" s="226"/>
      <c r="N3" s="226"/>
      <c r="O3" s="226"/>
      <c r="P3" s="225"/>
      <c r="Q3" s="226"/>
      <c r="R3" s="226"/>
      <c r="S3" s="226"/>
      <c r="T3" s="227"/>
      <c r="U3" s="216"/>
      <c r="V3" s="228" t="s">
        <v>216</v>
      </c>
      <c r="W3" s="229"/>
      <c r="X3" s="229"/>
      <c r="Y3" s="229"/>
      <c r="Z3" s="229"/>
      <c r="AA3" s="229"/>
      <c r="AB3" s="229"/>
      <c r="AC3" s="229"/>
      <c r="AD3" s="230"/>
      <c r="AE3" s="216"/>
      <c r="AF3" s="216"/>
    </row>
    <row r="4" spans="1:32">
      <c r="A4" s="216"/>
      <c r="B4" s="231" t="s">
        <v>56</v>
      </c>
      <c r="C4" s="232"/>
      <c r="D4" s="232"/>
      <c r="E4" s="232"/>
      <c r="F4" s="233" t="s">
        <v>11</v>
      </c>
      <c r="G4" s="232"/>
      <c r="H4" s="232"/>
      <c r="I4" s="234" t="s">
        <v>217</v>
      </c>
      <c r="J4" s="220"/>
      <c r="K4" s="235">
        <v>1</v>
      </c>
      <c r="L4" s="220" t="s">
        <v>218</v>
      </c>
      <c r="M4" s="216"/>
      <c r="N4" s="216"/>
      <c r="O4" s="216"/>
      <c r="P4" s="216"/>
      <c r="Q4" s="216"/>
      <c r="R4" s="216"/>
      <c r="S4" s="216"/>
      <c r="T4" s="236"/>
      <c r="U4" s="216"/>
      <c r="V4" s="237"/>
      <c r="W4" s="238" t="s">
        <v>96</v>
      </c>
      <c r="X4" s="238" t="s">
        <v>219</v>
      </c>
      <c r="Y4" s="238" t="s">
        <v>220</v>
      </c>
      <c r="Z4" s="238" t="s">
        <v>98</v>
      </c>
      <c r="AA4" s="238" t="s">
        <v>221</v>
      </c>
      <c r="AB4" s="238" t="s">
        <v>222</v>
      </c>
      <c r="AC4" s="238" t="s">
        <v>223</v>
      </c>
      <c r="AD4" s="239" t="s">
        <v>161</v>
      </c>
      <c r="AE4" s="216"/>
      <c r="AF4" s="216"/>
    </row>
    <row r="5" spans="1:32">
      <c r="A5" s="216"/>
      <c r="B5" s="232" t="s">
        <v>224</v>
      </c>
      <c r="C5" s="240">
        <f>'Data input'!D100*10^-3</f>
        <v>3</v>
      </c>
      <c r="D5" s="232"/>
      <c r="E5" s="232"/>
      <c r="F5" s="241" t="s">
        <v>225</v>
      </c>
      <c r="G5" s="232"/>
      <c r="H5" s="232"/>
      <c r="I5" s="242" t="s">
        <v>226</v>
      </c>
      <c r="J5" s="220"/>
      <c r="K5" s="235">
        <v>2</v>
      </c>
      <c r="L5" s="220" t="s">
        <v>227</v>
      </c>
      <c r="M5" s="216"/>
      <c r="N5" s="216"/>
      <c r="O5" s="216"/>
      <c r="P5" s="216"/>
      <c r="Q5" s="216"/>
      <c r="R5" s="216"/>
      <c r="S5" s="216"/>
      <c r="T5" s="236"/>
      <c r="U5" s="216"/>
      <c r="V5" s="237" t="s">
        <v>228</v>
      </c>
      <c r="W5" s="238">
        <v>11797</v>
      </c>
      <c r="X5" s="238">
        <v>0</v>
      </c>
      <c r="Y5" s="238">
        <v>1745</v>
      </c>
      <c r="Z5" s="238">
        <v>0</v>
      </c>
      <c r="AA5" s="238">
        <v>0</v>
      </c>
      <c r="AB5" s="238">
        <v>8805</v>
      </c>
      <c r="AC5" s="238">
        <v>0</v>
      </c>
      <c r="AD5" s="243">
        <f t="shared" ref="AD5:AD15" si="0">SUM(W5:AC5)</f>
        <v>22347</v>
      </c>
      <c r="AE5" s="216"/>
      <c r="AF5" s="216"/>
    </row>
    <row r="6" spans="1:32">
      <c r="A6" s="216"/>
      <c r="B6" s="232" t="s">
        <v>229</v>
      </c>
      <c r="C6" s="244">
        <v>38.6</v>
      </c>
      <c r="D6" s="232"/>
      <c r="E6" s="232"/>
      <c r="F6" s="241" t="s">
        <v>230</v>
      </c>
      <c r="G6" s="232"/>
      <c r="H6" s="232"/>
      <c r="I6" s="234" t="s">
        <v>226</v>
      </c>
      <c r="J6" s="220"/>
      <c r="K6" s="235">
        <v>3</v>
      </c>
      <c r="L6" s="220" t="s">
        <v>219</v>
      </c>
      <c r="M6" s="216"/>
      <c r="N6" s="216"/>
      <c r="O6" s="216"/>
      <c r="P6" s="216"/>
      <c r="Q6" s="216"/>
      <c r="R6" s="216"/>
      <c r="S6" s="216"/>
      <c r="T6" s="236"/>
      <c r="U6" s="216"/>
      <c r="V6" s="237" t="s">
        <v>231</v>
      </c>
      <c r="W6" s="238">
        <v>0</v>
      </c>
      <c r="X6" s="238">
        <v>0</v>
      </c>
      <c r="Y6" s="238">
        <v>0</v>
      </c>
      <c r="Z6" s="238">
        <v>780</v>
      </c>
      <c r="AA6" s="238">
        <v>6555</v>
      </c>
      <c r="AB6" s="238">
        <v>0</v>
      </c>
      <c r="AC6" s="238">
        <v>0</v>
      </c>
      <c r="AD6" s="243">
        <f t="shared" si="0"/>
        <v>7335</v>
      </c>
      <c r="AE6" s="216"/>
      <c r="AF6" s="216"/>
    </row>
    <row r="7" spans="1:32">
      <c r="A7" s="216"/>
      <c r="B7" s="232" t="s">
        <v>232</v>
      </c>
      <c r="C7" s="245">
        <v>69.900000000000006</v>
      </c>
      <c r="D7" s="232"/>
      <c r="E7" s="232"/>
      <c r="F7" s="241" t="s">
        <v>233</v>
      </c>
      <c r="G7" s="232"/>
      <c r="H7" s="232"/>
      <c r="I7" s="246"/>
      <c r="J7" s="220"/>
      <c r="K7" s="235">
        <v>4</v>
      </c>
      <c r="L7" s="220" t="s">
        <v>220</v>
      </c>
      <c r="M7" s="216"/>
      <c r="N7" s="216"/>
      <c r="O7" s="216"/>
      <c r="P7" s="216"/>
      <c r="Q7" s="216"/>
      <c r="R7" s="216"/>
      <c r="S7" s="216"/>
      <c r="T7" s="236"/>
      <c r="U7" s="216"/>
      <c r="V7" s="237" t="s">
        <v>234</v>
      </c>
      <c r="W7" s="238">
        <v>0</v>
      </c>
      <c r="X7" s="238">
        <v>0</v>
      </c>
      <c r="Y7" s="238">
        <v>268</v>
      </c>
      <c r="Z7" s="238">
        <v>1280</v>
      </c>
      <c r="AA7" s="238">
        <v>510</v>
      </c>
      <c r="AB7" s="238">
        <v>132</v>
      </c>
      <c r="AC7" s="238">
        <v>0</v>
      </c>
      <c r="AD7" s="243">
        <f t="shared" si="0"/>
        <v>2190</v>
      </c>
      <c r="AE7" s="216"/>
      <c r="AF7" s="216"/>
    </row>
    <row r="8" spans="1:32" ht="18" customHeight="1">
      <c r="A8" s="216"/>
      <c r="B8" s="232"/>
      <c r="C8" s="232"/>
      <c r="D8" s="232"/>
      <c r="E8" s="232"/>
      <c r="F8" s="232"/>
      <c r="G8" s="232"/>
      <c r="H8" s="232"/>
      <c r="I8" s="234"/>
      <c r="J8" s="220"/>
      <c r="K8" s="235">
        <v>5</v>
      </c>
      <c r="L8" s="220" t="s">
        <v>98</v>
      </c>
      <c r="M8" s="216"/>
      <c r="N8" s="216"/>
      <c r="O8" s="216"/>
      <c r="P8" s="216"/>
      <c r="Q8" s="216"/>
      <c r="R8" s="216"/>
      <c r="S8" s="216"/>
      <c r="T8" s="236"/>
      <c r="U8" s="216"/>
      <c r="V8" s="237" t="s">
        <v>235</v>
      </c>
      <c r="W8" s="238">
        <v>0</v>
      </c>
      <c r="X8" s="238">
        <v>0</v>
      </c>
      <c r="Y8" s="238">
        <v>640</v>
      </c>
      <c r="Z8" s="238">
        <v>0</v>
      </c>
      <c r="AA8" s="238">
        <v>0</v>
      </c>
      <c r="AB8" s="238">
        <v>0</v>
      </c>
      <c r="AC8" s="238">
        <v>0</v>
      </c>
      <c r="AD8" s="243">
        <f t="shared" si="0"/>
        <v>640</v>
      </c>
      <c r="AE8" s="216"/>
      <c r="AF8" s="216"/>
    </row>
    <row r="9" spans="1:32">
      <c r="A9" s="216"/>
      <c r="B9" s="231" t="s">
        <v>178</v>
      </c>
      <c r="C9" s="231" t="s">
        <v>236</v>
      </c>
      <c r="D9" s="232"/>
      <c r="E9" s="232"/>
      <c r="F9" s="232"/>
      <c r="G9" s="232"/>
      <c r="H9" s="232"/>
      <c r="I9" s="234"/>
      <c r="J9" s="220"/>
      <c r="K9" s="235">
        <v>6</v>
      </c>
      <c r="L9" s="220" t="s">
        <v>221</v>
      </c>
      <c r="M9" s="216"/>
      <c r="N9" s="216"/>
      <c r="O9" s="216"/>
      <c r="P9" s="216"/>
      <c r="Q9" s="216"/>
      <c r="R9" s="216"/>
      <c r="S9" s="216"/>
      <c r="T9" s="236"/>
      <c r="U9" s="216"/>
      <c r="V9" s="237" t="s">
        <v>237</v>
      </c>
      <c r="W9" s="238">
        <v>0</v>
      </c>
      <c r="X9" s="238">
        <v>0</v>
      </c>
      <c r="Y9" s="238">
        <v>0</v>
      </c>
      <c r="Z9" s="238">
        <v>50</v>
      </c>
      <c r="AA9" s="238">
        <v>0</v>
      </c>
      <c r="AB9" s="238">
        <v>0</v>
      </c>
      <c r="AC9" s="238">
        <v>77</v>
      </c>
      <c r="AD9" s="243">
        <f t="shared" si="0"/>
        <v>127</v>
      </c>
      <c r="AE9" s="216"/>
      <c r="AF9" s="216"/>
    </row>
    <row r="10" spans="1:32">
      <c r="A10" s="216"/>
      <c r="B10" s="231"/>
      <c r="C10" s="232" t="s">
        <v>238</v>
      </c>
      <c r="D10" s="232"/>
      <c r="E10" s="232"/>
      <c r="F10" s="247" t="s">
        <v>239</v>
      </c>
      <c r="G10" s="232"/>
      <c r="H10" s="232"/>
      <c r="I10" s="248"/>
      <c r="J10" s="220"/>
      <c r="K10" s="235">
        <v>7</v>
      </c>
      <c r="L10" s="220" t="s">
        <v>222</v>
      </c>
      <c r="M10" s="216"/>
      <c r="N10" s="216"/>
      <c r="O10" s="216"/>
      <c r="P10" s="216"/>
      <c r="Q10" s="216"/>
      <c r="R10" s="216"/>
      <c r="S10" s="216"/>
      <c r="T10" s="236"/>
      <c r="U10" s="216"/>
      <c r="V10" s="237" t="s">
        <v>240</v>
      </c>
      <c r="W10" s="238">
        <v>1388</v>
      </c>
      <c r="X10" s="238">
        <v>283</v>
      </c>
      <c r="Y10" s="238">
        <v>1771</v>
      </c>
      <c r="Z10" s="238">
        <v>733</v>
      </c>
      <c r="AA10" s="238">
        <v>1321</v>
      </c>
      <c r="AB10" s="238">
        <v>907</v>
      </c>
      <c r="AC10" s="238">
        <v>322</v>
      </c>
      <c r="AD10" s="243">
        <f t="shared" si="0"/>
        <v>6725</v>
      </c>
      <c r="AE10" s="216"/>
      <c r="AF10" s="216"/>
    </row>
    <row r="11" spans="1:32">
      <c r="A11" s="216"/>
      <c r="B11" s="231"/>
      <c r="C11" s="232" t="s">
        <v>241</v>
      </c>
      <c r="D11" s="232"/>
      <c r="E11" s="232"/>
      <c r="F11" s="247" t="s">
        <v>242</v>
      </c>
      <c r="G11" s="232"/>
      <c r="H11" s="232"/>
      <c r="I11" s="234" t="s">
        <v>243</v>
      </c>
      <c r="J11" s="220"/>
      <c r="K11" s="235">
        <v>8</v>
      </c>
      <c r="L11" s="220" t="s">
        <v>97</v>
      </c>
      <c r="M11" s="216"/>
      <c r="N11" s="216"/>
      <c r="O11" s="216"/>
      <c r="P11" s="216"/>
      <c r="Q11" s="216"/>
      <c r="R11" s="216"/>
      <c r="S11" s="216"/>
      <c r="T11" s="236"/>
      <c r="U11" s="216"/>
      <c r="V11" s="237" t="s">
        <v>244</v>
      </c>
      <c r="W11" s="238">
        <v>0</v>
      </c>
      <c r="X11" s="238">
        <v>0</v>
      </c>
      <c r="Y11" s="238">
        <v>0</v>
      </c>
      <c r="Z11" s="238">
        <v>0</v>
      </c>
      <c r="AA11" s="238">
        <v>0</v>
      </c>
      <c r="AB11" s="238">
        <v>519</v>
      </c>
      <c r="AC11" s="238">
        <v>0</v>
      </c>
      <c r="AD11" s="243">
        <f t="shared" si="0"/>
        <v>519</v>
      </c>
      <c r="AE11" s="216"/>
      <c r="AF11" s="216"/>
    </row>
    <row r="12" spans="1:32">
      <c r="A12" s="216"/>
      <c r="B12" s="231"/>
      <c r="C12" s="232" t="s">
        <v>245</v>
      </c>
      <c r="D12" s="232"/>
      <c r="E12" s="232"/>
      <c r="F12" s="247" t="s">
        <v>246</v>
      </c>
      <c r="G12" s="232"/>
      <c r="H12" s="232"/>
      <c r="I12" s="234"/>
      <c r="J12" s="220"/>
      <c r="K12" s="235">
        <v>9</v>
      </c>
      <c r="L12" s="220" t="s">
        <v>247</v>
      </c>
      <c r="M12" s="216"/>
      <c r="N12" s="216"/>
      <c r="O12" s="216"/>
      <c r="P12" s="216"/>
      <c r="Q12" s="216"/>
      <c r="R12" s="216"/>
      <c r="S12" s="216"/>
      <c r="T12" s="236"/>
      <c r="U12" s="216"/>
      <c r="V12" s="237" t="s">
        <v>248</v>
      </c>
      <c r="W12" s="238">
        <v>50</v>
      </c>
      <c r="X12" s="238">
        <v>0</v>
      </c>
      <c r="Y12" s="238">
        <v>83</v>
      </c>
      <c r="Z12" s="238">
        <v>113</v>
      </c>
      <c r="AA12" s="238">
        <v>0</v>
      </c>
      <c r="AB12" s="238">
        <v>457</v>
      </c>
      <c r="AC12" s="238">
        <v>30</v>
      </c>
      <c r="AD12" s="243">
        <f t="shared" si="0"/>
        <v>733</v>
      </c>
      <c r="AE12" s="216"/>
      <c r="AF12" s="216"/>
    </row>
    <row r="13" spans="1:32">
      <c r="A13" s="216"/>
      <c r="B13" s="231"/>
      <c r="C13" s="232" t="s">
        <v>249</v>
      </c>
      <c r="D13" s="232"/>
      <c r="E13" s="232"/>
      <c r="F13" s="247" t="s">
        <v>250</v>
      </c>
      <c r="G13" s="232"/>
      <c r="H13" s="232"/>
      <c r="I13" s="234"/>
      <c r="J13" s="220"/>
      <c r="K13" s="249" t="s">
        <v>251</v>
      </c>
      <c r="L13" s="250" t="str">
        <f>INDEX(L4:L12,MATCH(C35,K4:K12,0))</f>
        <v>Vic</v>
      </c>
      <c r="M13" s="251"/>
      <c r="N13" s="251"/>
      <c r="O13" s="251"/>
      <c r="P13" s="251"/>
      <c r="Q13" s="251"/>
      <c r="R13" s="251"/>
      <c r="S13" s="251"/>
      <c r="T13" s="252"/>
      <c r="U13" s="216"/>
      <c r="V13" s="237" t="s">
        <v>252</v>
      </c>
      <c r="W13" s="238">
        <v>0</v>
      </c>
      <c r="X13" s="238">
        <v>0</v>
      </c>
      <c r="Y13" s="238">
        <v>586</v>
      </c>
      <c r="Z13" s="238">
        <v>0</v>
      </c>
      <c r="AA13" s="238">
        <v>0</v>
      </c>
      <c r="AB13" s="238">
        <v>0</v>
      </c>
      <c r="AC13" s="238">
        <v>0</v>
      </c>
      <c r="AD13" s="243">
        <f t="shared" si="0"/>
        <v>586</v>
      </c>
      <c r="AE13" s="216"/>
      <c r="AF13" s="216"/>
    </row>
    <row r="14" spans="1:32">
      <c r="A14" s="216"/>
      <c r="B14" s="231"/>
      <c r="C14" s="240"/>
      <c r="D14" s="232"/>
      <c r="E14" s="232"/>
      <c r="F14" s="232"/>
      <c r="G14" s="232"/>
      <c r="H14" s="232"/>
      <c r="I14" s="234"/>
      <c r="J14" s="220"/>
      <c r="K14" s="216"/>
      <c r="L14" s="216"/>
      <c r="M14" s="216"/>
      <c r="N14" s="216"/>
      <c r="O14" s="216"/>
      <c r="P14" s="216"/>
      <c r="Q14" s="216"/>
      <c r="R14" s="216"/>
      <c r="S14" s="216"/>
      <c r="T14" s="216"/>
      <c r="U14" s="216"/>
      <c r="V14" s="237" t="s">
        <v>253</v>
      </c>
      <c r="W14" s="238">
        <v>595</v>
      </c>
      <c r="X14" s="238">
        <v>208</v>
      </c>
      <c r="Y14" s="238">
        <v>680</v>
      </c>
      <c r="Z14" s="238">
        <v>663</v>
      </c>
      <c r="AA14" s="238">
        <v>0</v>
      </c>
      <c r="AB14" s="238">
        <v>215</v>
      </c>
      <c r="AC14" s="238">
        <v>131</v>
      </c>
      <c r="AD14" s="243">
        <f t="shared" si="0"/>
        <v>2492</v>
      </c>
      <c r="AE14" s="216"/>
      <c r="AF14" s="216"/>
    </row>
    <row r="15" spans="1:32">
      <c r="A15" s="216"/>
      <c r="B15" s="231" t="s">
        <v>178</v>
      </c>
      <c r="C15" s="253">
        <f>(C5*C6*C7)*10^-3</f>
        <v>8.0944200000000013</v>
      </c>
      <c r="D15" s="232"/>
      <c r="E15" s="232"/>
      <c r="F15" s="231" t="s">
        <v>254</v>
      </c>
      <c r="G15" s="232"/>
      <c r="H15" s="232"/>
      <c r="I15" s="234"/>
      <c r="J15" s="220"/>
      <c r="K15" s="254" t="s">
        <v>255</v>
      </c>
      <c r="L15" s="255"/>
      <c r="M15" s="255"/>
      <c r="N15" s="255"/>
      <c r="O15" s="226"/>
      <c r="P15" s="225"/>
      <c r="Q15" s="226"/>
      <c r="R15" s="226"/>
      <c r="S15" s="226"/>
      <c r="T15" s="227"/>
      <c r="U15" s="216"/>
      <c r="V15" s="237" t="s">
        <v>256</v>
      </c>
      <c r="W15" s="238">
        <v>0</v>
      </c>
      <c r="X15" s="238">
        <v>0</v>
      </c>
      <c r="Y15" s="238">
        <v>0</v>
      </c>
      <c r="Z15" s="238">
        <v>0</v>
      </c>
      <c r="AA15" s="238">
        <v>0</v>
      </c>
      <c r="AB15" s="238">
        <v>1395</v>
      </c>
      <c r="AC15" s="238">
        <v>0</v>
      </c>
      <c r="AD15" s="243">
        <f t="shared" si="0"/>
        <v>1395</v>
      </c>
      <c r="AE15" s="216"/>
      <c r="AF15" s="216"/>
    </row>
    <row r="16" spans="1:32">
      <c r="A16" s="216"/>
      <c r="B16" s="232"/>
      <c r="C16" s="244"/>
      <c r="D16" s="232"/>
      <c r="E16" s="232"/>
      <c r="F16" s="232"/>
      <c r="G16" s="232"/>
      <c r="H16" s="232"/>
      <c r="I16" s="248"/>
      <c r="J16" s="220"/>
      <c r="K16" s="256">
        <v>1</v>
      </c>
      <c r="L16" s="257" t="s">
        <v>257</v>
      </c>
      <c r="M16" s="257"/>
      <c r="N16" s="257"/>
      <c r="O16" s="216"/>
      <c r="P16" s="220"/>
      <c r="Q16" s="216"/>
      <c r="R16" s="216"/>
      <c r="S16" s="216"/>
      <c r="T16" s="236"/>
      <c r="U16" s="216"/>
      <c r="V16" s="237" t="s">
        <v>161</v>
      </c>
      <c r="W16" s="238">
        <f t="shared" ref="W16:AD16" si="1">SUM(W5:W15)</f>
        <v>13830</v>
      </c>
      <c r="X16" s="238">
        <f>SUM(X5:X15)</f>
        <v>491</v>
      </c>
      <c r="Y16" s="238">
        <f>SUM(Y5:Y15)</f>
        <v>5773</v>
      </c>
      <c r="Z16" s="238">
        <f>SUM(Z5:Z15)</f>
        <v>3619</v>
      </c>
      <c r="AA16" s="238">
        <f>SUM(AA5:AA15)</f>
        <v>8386</v>
      </c>
      <c r="AB16" s="238">
        <f>SUM(AB5:AB15)</f>
        <v>12430</v>
      </c>
      <c r="AC16" s="238">
        <f t="shared" si="1"/>
        <v>560</v>
      </c>
      <c r="AD16" s="243">
        <f t="shared" si="1"/>
        <v>45089</v>
      </c>
      <c r="AE16" s="216"/>
      <c r="AF16" s="216"/>
    </row>
    <row r="17" spans="1:32" ht="17.25">
      <c r="A17" s="216"/>
      <c r="B17" s="258" t="s">
        <v>258</v>
      </c>
      <c r="C17" s="244"/>
      <c r="D17" s="232"/>
      <c r="E17" s="232"/>
      <c r="F17" s="232"/>
      <c r="G17" s="232"/>
      <c r="H17" s="232"/>
      <c r="I17" s="248"/>
      <c r="J17" s="220"/>
      <c r="K17" s="259">
        <v>2</v>
      </c>
      <c r="L17" s="260" t="s">
        <v>259</v>
      </c>
      <c r="M17" s="260"/>
      <c r="N17" s="260"/>
      <c r="O17" s="251"/>
      <c r="P17" s="261"/>
      <c r="Q17" s="251"/>
      <c r="R17" s="251"/>
      <c r="S17" s="251"/>
      <c r="T17" s="252"/>
      <c r="U17" s="216"/>
      <c r="V17" s="237"/>
      <c r="W17" s="238"/>
      <c r="X17" s="238"/>
      <c r="Y17" s="238"/>
      <c r="Z17" s="238"/>
      <c r="AA17" s="238"/>
      <c r="AB17" s="238"/>
      <c r="AC17" s="238"/>
      <c r="AD17" s="243"/>
      <c r="AE17" s="216"/>
      <c r="AF17" s="216"/>
    </row>
    <row r="18" spans="1:32">
      <c r="A18" s="216"/>
      <c r="B18" s="231" t="s">
        <v>56</v>
      </c>
      <c r="C18" s="244"/>
      <c r="D18" s="232"/>
      <c r="E18" s="232"/>
      <c r="F18" s="231" t="s">
        <v>11</v>
      </c>
      <c r="G18" s="232"/>
      <c r="H18" s="232"/>
      <c r="I18" s="248"/>
      <c r="J18" s="220"/>
      <c r="K18" s="216"/>
      <c r="L18" s="216"/>
      <c r="M18" s="216"/>
      <c r="N18" s="216"/>
      <c r="O18" s="216"/>
      <c r="P18" s="216"/>
      <c r="Q18" s="216"/>
      <c r="R18" s="216"/>
      <c r="S18" s="216"/>
      <c r="T18" s="216"/>
      <c r="U18" s="216"/>
      <c r="V18" s="237" t="s">
        <v>260</v>
      </c>
      <c r="W18" s="238"/>
      <c r="X18" s="238"/>
      <c r="Y18" s="238"/>
      <c r="Z18" s="238"/>
      <c r="AA18" s="238"/>
      <c r="AB18" s="238"/>
      <c r="AC18" s="238"/>
      <c r="AD18" s="243"/>
      <c r="AE18" s="216"/>
      <c r="AF18" s="216"/>
    </row>
    <row r="19" spans="1:32">
      <c r="A19" s="216"/>
      <c r="B19" s="232" t="s">
        <v>261</v>
      </c>
      <c r="C19" s="244">
        <f>'Data input'!D101*10^-3</f>
        <v>0</v>
      </c>
      <c r="D19" s="232"/>
      <c r="E19" s="232"/>
      <c r="F19" s="241" t="s">
        <v>225</v>
      </c>
      <c r="G19" s="232"/>
      <c r="H19" s="232"/>
      <c r="I19" s="248"/>
      <c r="J19" s="220"/>
      <c r="K19" s="262" t="s">
        <v>262</v>
      </c>
      <c r="L19" s="226"/>
      <c r="M19" s="226"/>
      <c r="N19" s="226"/>
      <c r="O19" s="226"/>
      <c r="P19" s="226"/>
      <c r="Q19" s="226"/>
      <c r="R19" s="226"/>
      <c r="S19" s="226"/>
      <c r="T19" s="227"/>
      <c r="U19" s="216"/>
      <c r="V19" s="237" t="s">
        <v>263</v>
      </c>
      <c r="W19" s="238" t="s">
        <v>96</v>
      </c>
      <c r="X19" s="238" t="s">
        <v>219</v>
      </c>
      <c r="Y19" s="238" t="s">
        <v>220</v>
      </c>
      <c r="Z19" s="238" t="s">
        <v>98</v>
      </c>
      <c r="AA19" s="238" t="s">
        <v>221</v>
      </c>
      <c r="AB19" s="238" t="s">
        <v>222</v>
      </c>
      <c r="AC19" s="238" t="s">
        <v>223</v>
      </c>
      <c r="AD19" s="239" t="s">
        <v>161</v>
      </c>
      <c r="AE19" s="216"/>
      <c r="AF19" s="216"/>
    </row>
    <row r="20" spans="1:32">
      <c r="A20" s="216"/>
      <c r="B20" s="232" t="s">
        <v>229</v>
      </c>
      <c r="C20" s="244">
        <v>25.7</v>
      </c>
      <c r="D20" s="232"/>
      <c r="E20" s="232"/>
      <c r="F20" s="241" t="s">
        <v>230</v>
      </c>
      <c r="G20" s="232"/>
      <c r="H20" s="232"/>
      <c r="I20" s="242" t="s">
        <v>226</v>
      </c>
      <c r="J20" s="220"/>
      <c r="K20" s="263"/>
      <c r="L20" s="264" t="s">
        <v>264</v>
      </c>
      <c r="M20" s="264" t="s">
        <v>265</v>
      </c>
      <c r="N20" s="264" t="s">
        <v>258</v>
      </c>
      <c r="O20" s="265" t="s">
        <v>266</v>
      </c>
      <c r="P20" s="264" t="s">
        <v>263</v>
      </c>
      <c r="Q20" s="216"/>
      <c r="R20" s="216"/>
      <c r="S20" s="216"/>
      <c r="T20" s="236"/>
      <c r="U20" s="216"/>
      <c r="V20" s="237" t="s">
        <v>267</v>
      </c>
      <c r="W20" s="238">
        <v>4677</v>
      </c>
      <c r="X20" s="238">
        <v>2316</v>
      </c>
      <c r="Y20" s="238">
        <v>30</v>
      </c>
      <c r="Z20" s="238">
        <v>4</v>
      </c>
      <c r="AA20" s="238">
        <v>803</v>
      </c>
      <c r="AB20" s="238">
        <v>669</v>
      </c>
      <c r="AC20" s="238">
        <v>0</v>
      </c>
      <c r="AD20" s="243">
        <f t="shared" ref="AD20:AD26" si="2">SUM(W20:AC20)</f>
        <v>8499</v>
      </c>
      <c r="AE20" s="216"/>
      <c r="AF20" s="216"/>
    </row>
    <row r="21" spans="1:32">
      <c r="A21" s="216"/>
      <c r="B21" s="232" t="s">
        <v>268</v>
      </c>
      <c r="C21" s="245">
        <v>60.2</v>
      </c>
      <c r="D21" s="232"/>
      <c r="E21" s="232"/>
      <c r="F21" s="241" t="s">
        <v>233</v>
      </c>
      <c r="G21" s="232"/>
      <c r="H21" s="232"/>
      <c r="I21" s="234" t="s">
        <v>226</v>
      </c>
      <c r="J21" s="220"/>
      <c r="K21" s="263" t="s">
        <v>218</v>
      </c>
      <c r="L21" s="266">
        <f>L22</f>
        <v>0.93497497279651798</v>
      </c>
      <c r="M21" s="266">
        <f t="shared" ref="M21:P21" si="3">M22</f>
        <v>0</v>
      </c>
      <c r="N21" s="266">
        <f t="shared" si="3"/>
        <v>0.51919648397104445</v>
      </c>
      <c r="O21" s="266">
        <f t="shared" si="3"/>
        <v>0.89600000000000002</v>
      </c>
      <c r="P21" s="266">
        <f t="shared" si="3"/>
        <v>0</v>
      </c>
      <c r="Q21" s="216"/>
      <c r="R21" s="216"/>
      <c r="S21" s="216"/>
      <c r="T21" s="236"/>
      <c r="U21" s="216"/>
      <c r="V21" s="237" t="s">
        <v>269</v>
      </c>
      <c r="W21" s="238">
        <v>234</v>
      </c>
      <c r="X21" s="238">
        <v>142</v>
      </c>
      <c r="Y21" s="238">
        <v>204</v>
      </c>
      <c r="Z21" s="238">
        <v>1151</v>
      </c>
      <c r="AA21" s="238">
        <v>432</v>
      </c>
      <c r="AB21" s="238">
        <v>12</v>
      </c>
      <c r="AC21" s="238">
        <v>0</v>
      </c>
      <c r="AD21" s="243">
        <f t="shared" si="2"/>
        <v>2175</v>
      </c>
      <c r="AE21" s="216"/>
      <c r="AF21" s="216"/>
    </row>
    <row r="22" spans="1:32">
      <c r="A22" s="216"/>
      <c r="B22" s="232"/>
      <c r="C22" s="232"/>
      <c r="D22" s="232"/>
      <c r="E22" s="232"/>
      <c r="F22" s="232"/>
      <c r="G22" s="232"/>
      <c r="H22" s="232"/>
      <c r="I22" s="234"/>
      <c r="J22" s="220"/>
      <c r="K22" s="235" t="s">
        <v>227</v>
      </c>
      <c r="L22" s="266">
        <f>((N50*O50)+(N59*O59)+(N60*O60)+(N61*O61)+(N62*O62)+(N70*O70)+(N71*O71))/(O50+O59+O60+O61+O62+O70+O71)</f>
        <v>0.93497497279651798</v>
      </c>
      <c r="M22" s="266">
        <v>0</v>
      </c>
      <c r="N22" s="266">
        <f>((N53*O53)+(N64*O64)+(N65*O65)+(N69*O69))/(O53+O64+O65+O69)</f>
        <v>0.51919648397104445</v>
      </c>
      <c r="O22" s="267">
        <f>((N58*O58))/O58</f>
        <v>0.89600000000000002</v>
      </c>
      <c r="P22" s="266">
        <v>0</v>
      </c>
      <c r="Q22" s="216"/>
      <c r="R22" s="216"/>
      <c r="S22" s="216"/>
      <c r="T22" s="236"/>
      <c r="U22" s="216"/>
      <c r="V22" s="237" t="s">
        <v>270</v>
      </c>
      <c r="W22" s="238">
        <v>166</v>
      </c>
      <c r="X22" s="238">
        <v>5</v>
      </c>
      <c r="Y22" s="238">
        <v>33</v>
      </c>
      <c r="Z22" s="238">
        <v>20</v>
      </c>
      <c r="AA22" s="238">
        <v>113</v>
      </c>
      <c r="AB22" s="238">
        <v>429</v>
      </c>
      <c r="AC22" s="238">
        <v>1</v>
      </c>
      <c r="AD22" s="243">
        <f t="shared" si="2"/>
        <v>767</v>
      </c>
      <c r="AE22" s="216"/>
      <c r="AF22" s="216"/>
    </row>
    <row r="23" spans="1:32">
      <c r="A23" s="216"/>
      <c r="B23" s="231" t="s">
        <v>178</v>
      </c>
      <c r="C23" s="231" t="s">
        <v>236</v>
      </c>
      <c r="D23" s="232"/>
      <c r="E23" s="232"/>
      <c r="F23" s="232"/>
      <c r="G23" s="232"/>
      <c r="H23" s="232"/>
      <c r="I23" s="246"/>
      <c r="J23" s="220"/>
      <c r="K23" s="235" t="s">
        <v>219</v>
      </c>
      <c r="L23" s="266">
        <v>0</v>
      </c>
      <c r="M23" s="266">
        <v>0</v>
      </c>
      <c r="N23" s="266">
        <f>((N124*O124)+(N125*O125)+(N139*O139)+(N140*O140))/(O124+O125+O139+O140)</f>
        <v>0.55760517799352749</v>
      </c>
      <c r="O23" s="267">
        <v>0</v>
      </c>
      <c r="P23" s="266">
        <v>0</v>
      </c>
      <c r="Q23" s="216"/>
      <c r="R23" s="216"/>
      <c r="S23" s="216"/>
      <c r="T23" s="236"/>
      <c r="U23" s="216"/>
      <c r="V23" s="237" t="s">
        <v>271</v>
      </c>
      <c r="W23" s="238">
        <v>328</v>
      </c>
      <c r="X23" s="238">
        <v>8</v>
      </c>
      <c r="Y23" s="238">
        <v>141</v>
      </c>
      <c r="Z23" s="238">
        <v>130</v>
      </c>
      <c r="AA23" s="238">
        <v>152</v>
      </c>
      <c r="AB23" s="238">
        <v>256</v>
      </c>
      <c r="AC23" s="238">
        <v>6</v>
      </c>
      <c r="AD23" s="243">
        <f t="shared" si="2"/>
        <v>1021</v>
      </c>
      <c r="AE23" s="216"/>
      <c r="AF23" s="216"/>
    </row>
    <row r="24" spans="1:32">
      <c r="A24" s="216"/>
      <c r="B24" s="232"/>
      <c r="C24" s="232" t="s">
        <v>238</v>
      </c>
      <c r="D24" s="232"/>
      <c r="E24" s="232"/>
      <c r="F24" s="232" t="s">
        <v>239</v>
      </c>
      <c r="G24" s="232"/>
      <c r="H24" s="232"/>
      <c r="I24" s="248"/>
      <c r="J24" s="220"/>
      <c r="K24" s="235" t="s">
        <v>220</v>
      </c>
      <c r="L24" s="266">
        <f>((N172*O172)+(N177*O177)+(N190*O190)+(N191*O191)+(N192*O192)+(N208*O208))/(O172+O177+O190+O191+O192+O208)</f>
        <v>0.98488692390139332</v>
      </c>
      <c r="M24" s="266">
        <v>0</v>
      </c>
      <c r="N24" s="266">
        <f>((N169*O169)+(N170*O170)+(N171*O171)+(N173*O173)+(N175*O175)+(N183*O183)+(N184*O184)+(N185*O185)+(N186*O186)+(N187*O187)+(N189*O189)+(N194*O194)+(N196*O196)+(N197*O197)+(N198*O198)+(N199*O199)+(N200*O200)+(N201*O201)+(N202*O202)+(N204*O204)+(N207*O207)+(N209*O209))/(O169+O170+O171+O173+O175+O183+O184+O185+O186+O187+O188+O189+O194+O196+O197+O198+O199+O200+O201+O202+O204+O207+O209)</f>
        <v>0.53947935779816514</v>
      </c>
      <c r="O24" s="267">
        <f>((N179*O179)+(N182*O182)+(N188*O188)+(N195*O195)+(N203*O203)+(N205*O205))/(O179+O182+O188+O195+O203+O205)</f>
        <v>0.75091263940520447</v>
      </c>
      <c r="P24" s="266">
        <v>0</v>
      </c>
      <c r="Q24" s="216"/>
      <c r="R24" s="216"/>
      <c r="S24" s="216"/>
      <c r="T24" s="236"/>
      <c r="U24" s="216"/>
      <c r="V24" s="237" t="s">
        <v>272</v>
      </c>
      <c r="W24" s="238">
        <v>3</v>
      </c>
      <c r="X24" s="238">
        <v>0</v>
      </c>
      <c r="Y24" s="238">
        <v>0</v>
      </c>
      <c r="Z24" s="238">
        <v>0</v>
      </c>
      <c r="AA24" s="238">
        <v>0</v>
      </c>
      <c r="AB24" s="238">
        <v>0</v>
      </c>
      <c r="AC24" s="238">
        <v>0</v>
      </c>
      <c r="AD24" s="243">
        <f t="shared" si="2"/>
        <v>3</v>
      </c>
      <c r="AE24" s="216"/>
      <c r="AF24" s="216"/>
    </row>
    <row r="25" spans="1:32">
      <c r="A25" s="216"/>
      <c r="B25" s="232"/>
      <c r="C25" s="232" t="s">
        <v>241</v>
      </c>
      <c r="D25" s="232"/>
      <c r="E25" s="232"/>
      <c r="F25" s="232" t="s">
        <v>242</v>
      </c>
      <c r="G25" s="232"/>
      <c r="H25" s="232"/>
      <c r="I25" s="234" t="s">
        <v>243</v>
      </c>
      <c r="J25" s="220"/>
      <c r="K25" s="235" t="s">
        <v>98</v>
      </c>
      <c r="L25" s="266">
        <v>0</v>
      </c>
      <c r="M25" s="266">
        <f>((N111*O111)+(N114*O114))/(O111+O114)</f>
        <v>1.1080762155059132</v>
      </c>
      <c r="N25" s="266">
        <f>((N102*O102)+(N103*O103)+(N106*O106)+(N109*O109)+(N112*O112)+(N113*O113)+(N116*O116)+(N120*O120)+(N121*O121))/(O102+O103+O106+O109+O112+O113+O116+O120+O121)</f>
        <v>0.58724116114625979</v>
      </c>
      <c r="O25" s="267">
        <f>((N99*O99)+(N115*O115)+(N119*O119))/(O99+O115+O119)</f>
        <v>0.94</v>
      </c>
      <c r="P25" s="266">
        <v>0</v>
      </c>
      <c r="Q25" s="216"/>
      <c r="R25" s="216"/>
      <c r="S25" s="216"/>
      <c r="T25" s="236"/>
      <c r="U25" s="216"/>
      <c r="V25" s="237" t="s">
        <v>273</v>
      </c>
      <c r="W25" s="238">
        <v>0</v>
      </c>
      <c r="X25" s="238">
        <v>0</v>
      </c>
      <c r="Y25" s="238">
        <v>0</v>
      </c>
      <c r="Z25" s="238">
        <v>0</v>
      </c>
      <c r="AA25" s="238">
        <v>0</v>
      </c>
      <c r="AB25" s="238">
        <v>0.1</v>
      </c>
      <c r="AC25" s="238">
        <v>0</v>
      </c>
      <c r="AD25" s="243">
        <f t="shared" si="2"/>
        <v>0.1</v>
      </c>
      <c r="AE25" s="216"/>
      <c r="AF25" s="216"/>
    </row>
    <row r="26" spans="1:32">
      <c r="A26" s="216"/>
      <c r="B26" s="232"/>
      <c r="C26" s="232" t="s">
        <v>245</v>
      </c>
      <c r="D26" s="232"/>
      <c r="E26" s="232"/>
      <c r="F26" s="232" t="s">
        <v>246</v>
      </c>
      <c r="G26" s="232"/>
      <c r="H26" s="232"/>
      <c r="I26" s="248"/>
      <c r="J26" s="220"/>
      <c r="K26" s="235" t="s">
        <v>221</v>
      </c>
      <c r="L26" s="266">
        <v>0</v>
      </c>
      <c r="M26" s="266">
        <f>((N145*O145)+(N149*O149)+(N150*O150)+(N155*O155)+(N156*O156)+(N167*O167))/(O145+O149+O150+O155+O156+O167)</f>
        <v>1.3451901522992755</v>
      </c>
      <c r="N26" s="266">
        <f>((N146*O146)+(N152*O152)+(N153*O153)+(N154*O154)+(N159*O159)+(N162*O162)+(N164*O164)+(N165*O165))/(O146+O152+O153+O154+O159+O162+O164+O165)</f>
        <v>0.65778367177786989</v>
      </c>
      <c r="O26" s="267">
        <v>0</v>
      </c>
      <c r="P26" s="266">
        <v>0</v>
      </c>
      <c r="Q26" s="216"/>
      <c r="R26" s="216"/>
      <c r="S26" s="216"/>
      <c r="T26" s="236"/>
      <c r="U26" s="216"/>
      <c r="V26" s="237" t="s">
        <v>274</v>
      </c>
      <c r="W26" s="238">
        <v>0</v>
      </c>
      <c r="X26" s="238">
        <v>0</v>
      </c>
      <c r="Y26" s="238">
        <v>0.1</v>
      </c>
      <c r="Z26" s="238">
        <v>0</v>
      </c>
      <c r="AA26" s="238">
        <v>0.2</v>
      </c>
      <c r="AB26" s="238">
        <v>0</v>
      </c>
      <c r="AC26" s="238">
        <v>0</v>
      </c>
      <c r="AD26" s="243">
        <f t="shared" si="2"/>
        <v>0.30000000000000004</v>
      </c>
      <c r="AE26" s="216"/>
      <c r="AF26" s="216"/>
    </row>
    <row r="27" spans="1:32">
      <c r="A27" s="216"/>
      <c r="B27" s="232"/>
      <c r="C27" s="232" t="s">
        <v>249</v>
      </c>
      <c r="D27" s="232"/>
      <c r="E27" s="232"/>
      <c r="F27" s="232" t="s">
        <v>250</v>
      </c>
      <c r="G27" s="232"/>
      <c r="H27" s="232"/>
      <c r="I27" s="248"/>
      <c r="J27" s="220"/>
      <c r="K27" s="235" t="s">
        <v>222</v>
      </c>
      <c r="L27" s="266">
        <f>((N77*O77)+(N78*O78)+(N79*O79)+(N82*O82)+(N84*O84)+(N86*O86)+(N90*O90)+(N91*O91)+(N93*O93)+(N94*O94))/(O77+O78+O79+O82+O84+O86+O90+O91+O93+O94)</f>
        <v>0.92733371454711799</v>
      </c>
      <c r="M27" s="266">
        <v>0</v>
      </c>
      <c r="N27" s="266">
        <f>((N73*O73)+(N75*O75)+(N76*O76)+(N80*O80)+(N81*O81)+(N88*O88)+(N89*O89)+(N92*O92)+(N95*O95)+(N98*O98))/(O73+O75+O76+O80+O81+O88+O89+O92+O95+O98)</f>
        <v>0.50054060482500851</v>
      </c>
      <c r="O27" s="267">
        <f>((N85*O85)+(N87*O87))/(O85+O87)</f>
        <v>0.8405132743362832</v>
      </c>
      <c r="P27" s="266">
        <v>0</v>
      </c>
      <c r="Q27" s="216"/>
      <c r="R27" s="216"/>
      <c r="S27" s="216"/>
      <c r="T27" s="236"/>
      <c r="U27" s="216"/>
      <c r="V27" s="237" t="s">
        <v>275</v>
      </c>
      <c r="W27" s="238">
        <f t="shared" ref="W27:AB27" si="4">SUM(W20:W26)</f>
        <v>5408</v>
      </c>
      <c r="X27" s="238">
        <f t="shared" si="4"/>
        <v>2471</v>
      </c>
      <c r="Y27" s="238">
        <f t="shared" si="4"/>
        <v>408.1</v>
      </c>
      <c r="Z27" s="238">
        <f t="shared" si="4"/>
        <v>1305</v>
      </c>
      <c r="AA27" s="238">
        <f t="shared" si="4"/>
        <v>1500.2</v>
      </c>
      <c r="AB27" s="238">
        <f t="shared" si="4"/>
        <v>1366.1</v>
      </c>
      <c r="AC27" s="238">
        <f t="shared" ref="AC27:AD27" si="5">SUM(AC20:AC26)</f>
        <v>7</v>
      </c>
      <c r="AD27" s="243">
        <f t="shared" si="5"/>
        <v>12465.4</v>
      </c>
      <c r="AE27" s="216"/>
      <c r="AF27" s="216"/>
    </row>
    <row r="28" spans="1:32">
      <c r="A28" s="268"/>
      <c r="B28" s="232"/>
      <c r="C28" s="232"/>
      <c r="D28" s="232"/>
      <c r="E28" s="232"/>
      <c r="F28" s="232"/>
      <c r="G28" s="232"/>
      <c r="H28" s="232"/>
      <c r="I28" s="248"/>
      <c r="J28" s="220"/>
      <c r="K28" s="235" t="s">
        <v>97</v>
      </c>
      <c r="L28" s="266">
        <v>0</v>
      </c>
      <c r="M28" s="266">
        <v>0</v>
      </c>
      <c r="N28" s="266">
        <f>((N219*O219)+(N220*O220)+(N221*O221)+(N222*O222)+(N223*O223)+(N224*O224)+(N225*O225)+(N226*O226))/(O219+O220+O221+O222+O223+O224+O225+O226)</f>
        <v>0.52879687500000006</v>
      </c>
      <c r="O28" s="267">
        <f>N218</f>
        <v>1.0189999999999999</v>
      </c>
      <c r="P28" s="266">
        <v>0</v>
      </c>
      <c r="Q28" s="216"/>
      <c r="R28" s="216"/>
      <c r="S28" s="216"/>
      <c r="T28" s="236"/>
      <c r="U28" s="216"/>
      <c r="V28" s="237"/>
      <c r="W28" s="238"/>
      <c r="X28" s="238"/>
      <c r="Y28" s="238"/>
      <c r="Z28" s="238"/>
      <c r="AA28" s="238"/>
      <c r="AB28" s="238"/>
      <c r="AC28" s="238"/>
      <c r="AD28" s="243"/>
      <c r="AE28" s="216"/>
      <c r="AF28" s="216"/>
    </row>
    <row r="29" spans="1:32">
      <c r="A29" s="268"/>
      <c r="B29" s="231" t="s">
        <v>276</v>
      </c>
      <c r="C29" s="269">
        <f>(C19*C20*C21)*10^-3</f>
        <v>0</v>
      </c>
      <c r="D29" s="232"/>
      <c r="E29" s="232"/>
      <c r="F29" s="231" t="s">
        <v>254</v>
      </c>
      <c r="G29" s="232"/>
      <c r="H29" s="232"/>
      <c r="I29" s="248"/>
      <c r="J29" s="220"/>
      <c r="K29" s="235" t="s">
        <v>247</v>
      </c>
      <c r="L29" s="266">
        <v>0</v>
      </c>
      <c r="M29" s="266">
        <v>0</v>
      </c>
      <c r="N29" s="266">
        <f>((N210*O210)+(N211*O211)+(N212*O212)+(N213*O213)+(N214*O214)+(N215*O215)+(N217*O217))/(O210+O211+O212+O213+O214+O215+O217)</f>
        <v>0.50357318224740322</v>
      </c>
      <c r="O29" s="267">
        <f>N216</f>
        <v>0.84299999999999997</v>
      </c>
      <c r="P29" s="266">
        <v>0</v>
      </c>
      <c r="Q29" s="216"/>
      <c r="R29" s="216"/>
      <c r="S29" s="216"/>
      <c r="T29" s="236"/>
      <c r="U29" s="216"/>
      <c r="V29" s="270" t="s">
        <v>277</v>
      </c>
      <c r="W29" s="238" t="s">
        <v>96</v>
      </c>
      <c r="X29" s="238" t="s">
        <v>219</v>
      </c>
      <c r="Y29" s="238" t="s">
        <v>220</v>
      </c>
      <c r="Z29" s="238" t="s">
        <v>98</v>
      </c>
      <c r="AA29" s="238" t="s">
        <v>221</v>
      </c>
      <c r="AB29" s="238" t="s">
        <v>222</v>
      </c>
      <c r="AC29" s="238" t="s">
        <v>223</v>
      </c>
      <c r="AD29" s="239" t="s">
        <v>161</v>
      </c>
      <c r="AE29" s="216"/>
      <c r="AF29" s="216"/>
    </row>
    <row r="30" spans="1:32">
      <c r="A30" s="268"/>
      <c r="B30" s="232"/>
      <c r="C30" s="244"/>
      <c r="D30" s="232"/>
      <c r="E30" s="232"/>
      <c r="F30" s="232"/>
      <c r="G30" s="232"/>
      <c r="H30" s="232"/>
      <c r="I30" s="248"/>
      <c r="J30" s="220"/>
      <c r="K30" s="235" t="s">
        <v>278</v>
      </c>
      <c r="L30" s="266"/>
      <c r="M30" s="266"/>
      <c r="N30" s="266"/>
      <c r="O30" s="216"/>
      <c r="P30" s="266"/>
      <c r="Q30" s="216"/>
      <c r="R30" s="216"/>
      <c r="S30" s="216"/>
      <c r="T30" s="236"/>
      <c r="U30" s="216"/>
      <c r="V30" s="237" t="s">
        <v>264</v>
      </c>
      <c r="W30" s="238">
        <f t="shared" ref="W30:AD31" si="6">W5</f>
        <v>11797</v>
      </c>
      <c r="X30" s="238">
        <f t="shared" si="6"/>
        <v>0</v>
      </c>
      <c r="Y30" s="238">
        <f t="shared" si="6"/>
        <v>1745</v>
      </c>
      <c r="Z30" s="238">
        <f t="shared" si="6"/>
        <v>0</v>
      </c>
      <c r="AA30" s="238">
        <f t="shared" si="6"/>
        <v>0</v>
      </c>
      <c r="AB30" s="238">
        <f t="shared" si="6"/>
        <v>8805</v>
      </c>
      <c r="AC30" s="238">
        <f t="shared" si="6"/>
        <v>0</v>
      </c>
      <c r="AD30" s="243">
        <f t="shared" si="6"/>
        <v>22347</v>
      </c>
      <c r="AE30" s="216"/>
      <c r="AF30" s="216"/>
    </row>
    <row r="31" spans="1:32" ht="17.25">
      <c r="A31" s="268"/>
      <c r="B31" s="258" t="s">
        <v>279</v>
      </c>
      <c r="C31" s="244"/>
      <c r="D31" s="232"/>
      <c r="E31" s="232"/>
      <c r="F31" s="232"/>
      <c r="G31" s="232"/>
      <c r="H31" s="232"/>
      <c r="I31" s="248"/>
      <c r="J31" s="220"/>
      <c r="K31" s="263"/>
      <c r="L31" s="216"/>
      <c r="M31" s="216"/>
      <c r="N31" s="216"/>
      <c r="O31" s="216"/>
      <c r="P31" s="216"/>
      <c r="Q31" s="216"/>
      <c r="R31" s="216"/>
      <c r="S31" s="216"/>
      <c r="T31" s="236"/>
      <c r="U31" s="216"/>
      <c r="V31" s="237" t="s">
        <v>265</v>
      </c>
      <c r="W31" s="238">
        <f t="shared" si="6"/>
        <v>0</v>
      </c>
      <c r="X31" s="238">
        <f t="shared" si="6"/>
        <v>0</v>
      </c>
      <c r="Y31" s="238">
        <f t="shared" si="6"/>
        <v>0</v>
      </c>
      <c r="Z31" s="238">
        <f t="shared" si="6"/>
        <v>780</v>
      </c>
      <c r="AA31" s="238">
        <f t="shared" si="6"/>
        <v>6555</v>
      </c>
      <c r="AB31" s="238">
        <f t="shared" si="6"/>
        <v>0</v>
      </c>
      <c r="AC31" s="238">
        <f t="shared" si="6"/>
        <v>0</v>
      </c>
      <c r="AD31" s="243">
        <f t="shared" si="6"/>
        <v>7335</v>
      </c>
      <c r="AE31" s="216"/>
      <c r="AF31" s="216"/>
    </row>
    <row r="32" spans="1:32">
      <c r="A32" s="216"/>
      <c r="B32" s="231" t="s">
        <v>56</v>
      </c>
      <c r="C32" s="244"/>
      <c r="D32" s="232"/>
      <c r="E32" s="232"/>
      <c r="F32" s="231" t="s">
        <v>11</v>
      </c>
      <c r="G32" s="232"/>
      <c r="H32" s="232"/>
      <c r="I32" s="248"/>
      <c r="J32" s="220"/>
      <c r="K32" s="263" t="s">
        <v>280</v>
      </c>
      <c r="L32" s="216"/>
      <c r="M32" s="216"/>
      <c r="N32" s="216"/>
      <c r="O32" s="216"/>
      <c r="P32" s="216"/>
      <c r="Q32" s="216"/>
      <c r="R32" s="216"/>
      <c r="S32" s="216"/>
      <c r="T32" s="236"/>
      <c r="U32" s="216"/>
      <c r="V32" s="237" t="s">
        <v>258</v>
      </c>
      <c r="W32" s="238">
        <f>SUM(W7,W10,W11,W14,W15)</f>
        <v>1983</v>
      </c>
      <c r="X32" s="238">
        <f t="shared" ref="X32:AD32" si="7">SUM(X7,X10,X11,X14,X15)</f>
        <v>491</v>
      </c>
      <c r="Y32" s="238">
        <f t="shared" si="7"/>
        <v>2719</v>
      </c>
      <c r="Z32" s="238">
        <f t="shared" si="7"/>
        <v>2676</v>
      </c>
      <c r="AA32" s="238">
        <f t="shared" si="7"/>
        <v>1831</v>
      </c>
      <c r="AB32" s="238">
        <f t="shared" si="7"/>
        <v>3168</v>
      </c>
      <c r="AC32" s="238">
        <f t="shared" si="7"/>
        <v>453</v>
      </c>
      <c r="AD32" s="243">
        <f t="shared" si="7"/>
        <v>13321</v>
      </c>
      <c r="AE32" s="216"/>
      <c r="AF32" s="216"/>
    </row>
    <row r="33" spans="1:32">
      <c r="A33" s="216"/>
      <c r="B33" s="232" t="s">
        <v>281</v>
      </c>
      <c r="C33" s="244">
        <f>'Data input'!D102</f>
        <v>36500</v>
      </c>
      <c r="D33" s="232"/>
      <c r="E33" s="232"/>
      <c r="F33" s="232" t="s">
        <v>177</v>
      </c>
      <c r="G33" s="232"/>
      <c r="H33" s="232"/>
      <c r="I33" s="248"/>
      <c r="J33" s="220"/>
      <c r="K33" s="263"/>
      <c r="L33" s="216" t="s">
        <v>264</v>
      </c>
      <c r="M33" s="216" t="s">
        <v>265</v>
      </c>
      <c r="N33" s="216" t="s">
        <v>258</v>
      </c>
      <c r="O33" s="265" t="s">
        <v>266</v>
      </c>
      <c r="P33" s="265" t="s">
        <v>263</v>
      </c>
      <c r="Q33" s="216"/>
      <c r="R33" s="216"/>
      <c r="S33" s="216"/>
      <c r="T33" s="236"/>
      <c r="U33" s="216"/>
      <c r="V33" s="271" t="s">
        <v>266</v>
      </c>
      <c r="W33" s="238">
        <f>W12</f>
        <v>50</v>
      </c>
      <c r="X33" s="238">
        <f t="shared" ref="X33:AD33" si="8">X12</f>
        <v>0</v>
      </c>
      <c r="Y33" s="238">
        <f t="shared" si="8"/>
        <v>83</v>
      </c>
      <c r="Z33" s="238">
        <f t="shared" si="8"/>
        <v>113</v>
      </c>
      <c r="AA33" s="238">
        <f t="shared" si="8"/>
        <v>0</v>
      </c>
      <c r="AB33" s="238">
        <f t="shared" si="8"/>
        <v>457</v>
      </c>
      <c r="AC33" s="238">
        <f t="shared" si="8"/>
        <v>30</v>
      </c>
      <c r="AD33" s="243">
        <f t="shared" si="8"/>
        <v>733</v>
      </c>
      <c r="AE33" s="216"/>
      <c r="AF33" s="216"/>
    </row>
    <row r="34" spans="1:32">
      <c r="A34" s="216"/>
      <c r="B34" s="232" t="s">
        <v>282</v>
      </c>
      <c r="C34" s="244">
        <f>C33/10^3</f>
        <v>36.5</v>
      </c>
      <c r="D34" s="232"/>
      <c r="E34" s="232"/>
      <c r="F34" s="232" t="s">
        <v>283</v>
      </c>
      <c r="G34" s="232"/>
      <c r="H34" s="232"/>
      <c r="I34" s="272"/>
      <c r="J34" s="220"/>
      <c r="K34" s="263" t="s">
        <v>218</v>
      </c>
      <c r="L34" s="267">
        <f>L35</f>
        <v>0.61321343174966214</v>
      </c>
      <c r="M34" s="267">
        <f t="shared" ref="M34:P34" si="9">M35</f>
        <v>0</v>
      </c>
      <c r="N34" s="267">
        <f t="shared" si="9"/>
        <v>0.1030772429566483</v>
      </c>
      <c r="O34" s="267">
        <f t="shared" si="9"/>
        <v>2.5990227674394426E-3</v>
      </c>
      <c r="P34" s="267">
        <f t="shared" si="9"/>
        <v>0.28111030252625013</v>
      </c>
      <c r="Q34" s="216"/>
      <c r="R34" s="216"/>
      <c r="S34" s="216"/>
      <c r="T34" s="236"/>
      <c r="U34" s="216"/>
      <c r="V34" s="237" t="s">
        <v>263</v>
      </c>
      <c r="W34" s="238">
        <f t="shared" ref="W34:AD34" si="10">W27</f>
        <v>5408</v>
      </c>
      <c r="X34" s="238">
        <f t="shared" si="10"/>
        <v>2471</v>
      </c>
      <c r="Y34" s="238">
        <f t="shared" si="10"/>
        <v>408.1</v>
      </c>
      <c r="Z34" s="238">
        <f t="shared" si="10"/>
        <v>1305</v>
      </c>
      <c r="AA34" s="238">
        <f t="shared" si="10"/>
        <v>1500.2</v>
      </c>
      <c r="AB34" s="238">
        <f t="shared" si="10"/>
        <v>1366.1</v>
      </c>
      <c r="AC34" s="238">
        <f t="shared" si="10"/>
        <v>7</v>
      </c>
      <c r="AD34" s="243">
        <f t="shared" si="10"/>
        <v>12465.4</v>
      </c>
      <c r="AE34" s="216"/>
      <c r="AF34" s="216"/>
    </row>
    <row r="35" spans="1:32">
      <c r="A35" s="216"/>
      <c r="B35" s="232" t="s">
        <v>284</v>
      </c>
      <c r="C35" s="244">
        <f>'Data input'!E3</f>
        <v>6</v>
      </c>
      <c r="D35" s="232" t="str">
        <f>L13</f>
        <v>Vic</v>
      </c>
      <c r="E35" s="232"/>
      <c r="F35" s="232" t="s">
        <v>285</v>
      </c>
      <c r="G35" s="232"/>
      <c r="H35" s="232"/>
      <c r="I35" s="248"/>
      <c r="J35" s="220"/>
      <c r="K35" s="235" t="s">
        <v>227</v>
      </c>
      <c r="L35" s="267">
        <f>W30/W35</f>
        <v>0.61321343174966214</v>
      </c>
      <c r="M35" s="267">
        <v>0</v>
      </c>
      <c r="N35" s="267">
        <f>W32/W35</f>
        <v>0.1030772429566483</v>
      </c>
      <c r="O35" s="267">
        <f>W33/W35</f>
        <v>2.5990227674394426E-3</v>
      </c>
      <c r="P35" s="267">
        <f>W34/W35</f>
        <v>0.28111030252625013</v>
      </c>
      <c r="Q35" s="216"/>
      <c r="R35" s="216"/>
      <c r="S35" s="216"/>
      <c r="T35" s="236"/>
      <c r="U35" s="216"/>
      <c r="V35" s="273" t="s">
        <v>161</v>
      </c>
      <c r="W35" s="274">
        <f t="shared" ref="W35:AD35" si="11">SUM(W30:W34)</f>
        <v>19238</v>
      </c>
      <c r="X35" s="274">
        <f t="shared" si="11"/>
        <v>2962</v>
      </c>
      <c r="Y35" s="274">
        <f t="shared" si="11"/>
        <v>4955.1000000000004</v>
      </c>
      <c r="Z35" s="274">
        <f t="shared" si="11"/>
        <v>4874</v>
      </c>
      <c r="AA35" s="274">
        <f t="shared" si="11"/>
        <v>9886.2000000000007</v>
      </c>
      <c r="AB35" s="274">
        <f t="shared" si="11"/>
        <v>13796.1</v>
      </c>
      <c r="AC35" s="274">
        <f t="shared" si="11"/>
        <v>490</v>
      </c>
      <c r="AD35" s="275">
        <f t="shared" si="11"/>
        <v>56201.4</v>
      </c>
      <c r="AE35" s="216"/>
      <c r="AF35" s="216"/>
    </row>
    <row r="36" spans="1:32">
      <c r="A36" s="216"/>
      <c r="B36" s="232" t="s">
        <v>286</v>
      </c>
      <c r="C36" s="244">
        <f>'Data input'!D98</f>
        <v>2</v>
      </c>
      <c r="D36" s="232" t="str">
        <f>INDEX(L16:L17,MATCH(C36,K16:K17,0))</f>
        <v>Renewable</v>
      </c>
      <c r="E36" s="232"/>
      <c r="F36" s="232"/>
      <c r="G36" s="232"/>
      <c r="H36" s="232"/>
      <c r="I36" s="248"/>
      <c r="J36" s="220"/>
      <c r="K36" s="235" t="s">
        <v>219</v>
      </c>
      <c r="L36" s="267">
        <v>0</v>
      </c>
      <c r="M36" s="267">
        <v>0</v>
      </c>
      <c r="N36" s="267">
        <f>X32/X35</f>
        <v>0.16576637407157327</v>
      </c>
      <c r="O36" s="267">
        <v>0</v>
      </c>
      <c r="P36" s="267">
        <f>X34/X35</f>
        <v>0.83423362592842676</v>
      </c>
      <c r="Q36" s="216"/>
      <c r="R36" s="216"/>
      <c r="S36" s="216"/>
      <c r="T36" s="236"/>
      <c r="U36" s="216"/>
      <c r="V36" s="237"/>
      <c r="W36" s="238"/>
      <c r="X36" s="238"/>
      <c r="Y36" s="238"/>
      <c r="Z36" s="238"/>
      <c r="AA36" s="238"/>
      <c r="AB36" s="238"/>
      <c r="AC36" s="238"/>
      <c r="AD36" s="239"/>
      <c r="AE36" s="216"/>
      <c r="AF36" s="216"/>
    </row>
    <row r="37" spans="1:32">
      <c r="A37" s="216"/>
      <c r="B37" s="232" t="s">
        <v>287</v>
      </c>
      <c r="C37" s="244">
        <f>IF(C36=1,1,0)</f>
        <v>0</v>
      </c>
      <c r="D37" s="232"/>
      <c r="E37" s="232"/>
      <c r="F37" s="232"/>
      <c r="G37" s="232"/>
      <c r="H37" s="232"/>
      <c r="I37" s="248"/>
      <c r="J37" s="216"/>
      <c r="K37" s="235" t="s">
        <v>220</v>
      </c>
      <c r="L37" s="267">
        <f>Y30/Y35</f>
        <v>0.35216241851829427</v>
      </c>
      <c r="M37" s="267">
        <v>0</v>
      </c>
      <c r="N37" s="267">
        <f>Y32/Y35</f>
        <v>0.54872757361102698</v>
      </c>
      <c r="O37" s="267">
        <f>Y33/Y35</f>
        <v>1.675041876046901E-2</v>
      </c>
      <c r="P37" s="267">
        <f>Y34/Y35</f>
        <v>8.2359589110209686E-2</v>
      </c>
      <c r="Q37" s="216"/>
      <c r="R37" s="216"/>
      <c r="S37" s="216"/>
      <c r="T37" s="236"/>
      <c r="U37" s="216"/>
      <c r="V37" s="237"/>
      <c r="W37" s="238"/>
      <c r="X37" s="238"/>
      <c r="Y37" s="238"/>
      <c r="Z37" s="238"/>
      <c r="AA37" s="238"/>
      <c r="AB37" s="238"/>
      <c r="AC37" s="238"/>
      <c r="AD37" s="239"/>
      <c r="AE37" s="216"/>
      <c r="AF37" s="216"/>
    </row>
    <row r="38" spans="1:32">
      <c r="A38" s="216"/>
      <c r="B38" s="232"/>
      <c r="C38" s="232"/>
      <c r="D38" s="232"/>
      <c r="E38" s="232"/>
      <c r="F38" s="232"/>
      <c r="G38" s="232"/>
      <c r="H38" s="232"/>
      <c r="I38" s="248"/>
      <c r="J38" s="216"/>
      <c r="K38" s="235" t="s">
        <v>98</v>
      </c>
      <c r="L38" s="267">
        <v>0</v>
      </c>
      <c r="M38" s="267">
        <f>Z31/Z35</f>
        <v>0.16003282724661469</v>
      </c>
      <c r="N38" s="267">
        <f>Z32/Z35</f>
        <v>0.54903569963069343</v>
      </c>
      <c r="O38" s="267">
        <f>Z33/Z35</f>
        <v>2.3184242921624947E-2</v>
      </c>
      <c r="P38" s="267">
        <f>Z34/Z35</f>
        <v>0.26774723020106689</v>
      </c>
      <c r="Q38" s="216"/>
      <c r="R38" s="216"/>
      <c r="S38" s="216"/>
      <c r="T38" s="236"/>
      <c r="U38" s="216"/>
      <c r="V38" s="237"/>
      <c r="W38" s="238"/>
      <c r="X38" s="238"/>
      <c r="Y38" s="238"/>
      <c r="Z38" s="238"/>
      <c r="AA38" s="238"/>
      <c r="AB38" s="238"/>
      <c r="AC38" s="238"/>
      <c r="AD38" s="239"/>
      <c r="AE38" s="216"/>
      <c r="AF38" s="216"/>
    </row>
    <row r="39" spans="1:32">
      <c r="A39" s="216"/>
      <c r="B39" s="232" t="s">
        <v>288</v>
      </c>
      <c r="C39" s="232"/>
      <c r="D39" s="232"/>
      <c r="E39" s="232"/>
      <c r="F39" s="232"/>
      <c r="G39" s="232"/>
      <c r="H39" s="232"/>
      <c r="I39" s="248"/>
      <c r="J39" s="216"/>
      <c r="K39" s="235" t="s">
        <v>221</v>
      </c>
      <c r="L39" s="267">
        <v>0</v>
      </c>
      <c r="M39" s="267">
        <f>AA31/AA35</f>
        <v>0.6630454573041209</v>
      </c>
      <c r="N39" s="267">
        <f>AA32/AA35</f>
        <v>0.18520766320729906</v>
      </c>
      <c r="O39" s="267">
        <v>0</v>
      </c>
      <c r="P39" s="267">
        <f>AA34/AA35</f>
        <v>0.15174687948858004</v>
      </c>
      <c r="Q39" s="216"/>
      <c r="R39" s="216"/>
      <c r="S39" s="216"/>
      <c r="T39" s="236"/>
      <c r="U39" s="216"/>
      <c r="V39" s="237"/>
      <c r="W39" s="238"/>
      <c r="X39" s="238"/>
      <c r="Y39" s="238"/>
      <c r="Z39" s="238"/>
      <c r="AA39" s="238"/>
      <c r="AB39" s="238"/>
      <c r="AC39" s="238"/>
      <c r="AD39" s="239"/>
      <c r="AE39" s="216"/>
      <c r="AF39" s="216"/>
    </row>
    <row r="40" spans="1:32">
      <c r="A40" s="216"/>
      <c r="B40" s="232" t="s">
        <v>289</v>
      </c>
      <c r="C40" s="241" t="s">
        <v>290</v>
      </c>
      <c r="D40" s="241" t="s">
        <v>291</v>
      </c>
      <c r="E40" s="232"/>
      <c r="F40" s="232"/>
      <c r="G40" s="232"/>
      <c r="H40" s="232"/>
      <c r="I40" s="248"/>
      <c r="J40" s="216"/>
      <c r="K40" s="235" t="s">
        <v>222</v>
      </c>
      <c r="L40" s="267">
        <f>AB30/AB35</f>
        <v>0.63822384586948488</v>
      </c>
      <c r="M40" s="267">
        <v>0</v>
      </c>
      <c r="N40" s="267">
        <f>AB32/AB35</f>
        <v>0.2296301128579816</v>
      </c>
      <c r="O40" s="267">
        <f>AB33/AB35</f>
        <v>3.3125303527808583E-2</v>
      </c>
      <c r="P40" s="267">
        <f>AB34/AB35</f>
        <v>9.9020737744724946E-2</v>
      </c>
      <c r="Q40" s="216"/>
      <c r="R40" s="216"/>
      <c r="S40" s="216"/>
      <c r="T40" s="236"/>
      <c r="U40" s="216"/>
      <c r="V40" s="276" t="s">
        <v>292</v>
      </c>
      <c r="W40" s="277"/>
      <c r="X40" s="277"/>
      <c r="Y40" s="277"/>
      <c r="Z40" s="277"/>
      <c r="AA40" s="277"/>
      <c r="AB40" s="277"/>
      <c r="AC40" s="277"/>
      <c r="AD40" s="278"/>
      <c r="AE40" s="216"/>
      <c r="AF40" s="216"/>
    </row>
    <row r="41" spans="1:32">
      <c r="A41" s="216"/>
      <c r="B41" s="232" t="s">
        <v>264</v>
      </c>
      <c r="C41" s="279">
        <f>INDEX(L21:L29,MATCH(D35,K21:K29,0))</f>
        <v>0</v>
      </c>
      <c r="D41" s="279">
        <f>INDEX(L34:L42,MATCH(D35,K34:K42,0))</f>
        <v>0</v>
      </c>
      <c r="E41" s="232"/>
      <c r="F41" s="232" t="s">
        <v>293</v>
      </c>
      <c r="G41" s="232"/>
      <c r="H41" s="232"/>
      <c r="I41" s="248"/>
      <c r="J41" s="216"/>
      <c r="K41" s="235" t="s">
        <v>97</v>
      </c>
      <c r="L41" s="267">
        <v>0</v>
      </c>
      <c r="M41" s="267">
        <v>0</v>
      </c>
      <c r="N41" s="267">
        <f>AC32/AC35</f>
        <v>0.92448979591836733</v>
      </c>
      <c r="O41" s="267">
        <f>AC33/AC35</f>
        <v>6.1224489795918366E-2</v>
      </c>
      <c r="P41" s="267">
        <f>AC34/AC35</f>
        <v>1.4285714285714285E-2</v>
      </c>
      <c r="Q41" s="216"/>
      <c r="R41" s="216"/>
      <c r="S41" s="216"/>
      <c r="T41" s="236"/>
      <c r="U41" s="216"/>
      <c r="V41" s="216"/>
      <c r="W41" s="216"/>
      <c r="X41" s="216"/>
      <c r="Y41" s="216"/>
      <c r="Z41" s="216"/>
      <c r="AA41" s="216"/>
      <c r="AB41" s="216"/>
      <c r="AC41" s="216"/>
      <c r="AD41" s="216"/>
      <c r="AE41" s="216"/>
      <c r="AF41" s="216"/>
    </row>
    <row r="42" spans="1:32">
      <c r="A42" s="216"/>
      <c r="B42" s="232" t="s">
        <v>265</v>
      </c>
      <c r="C42" s="279">
        <f>INDEX(M21:M29,MATCH(D35,K21:K29,0))</f>
        <v>1.3451901522992755</v>
      </c>
      <c r="D42" s="279">
        <f>INDEX(M34:M42,MATCH(D35,K34:K42,0))</f>
        <v>0.6630454573041209</v>
      </c>
      <c r="E42" s="232"/>
      <c r="F42" s="232" t="s">
        <v>293</v>
      </c>
      <c r="G42" s="232"/>
      <c r="H42" s="232"/>
      <c r="I42" s="248"/>
      <c r="J42" s="216"/>
      <c r="K42" s="235" t="s">
        <v>247</v>
      </c>
      <c r="L42" s="267">
        <v>0</v>
      </c>
      <c r="M42" s="267">
        <v>0</v>
      </c>
      <c r="N42" s="267">
        <f>AC32/AC35</f>
        <v>0.92448979591836733</v>
      </c>
      <c r="O42" s="267">
        <f>AC33/AC35</f>
        <v>6.1224489795918366E-2</v>
      </c>
      <c r="P42" s="267">
        <f>AC34/AC35</f>
        <v>1.4285714285714285E-2</v>
      </c>
      <c r="Q42" s="216"/>
      <c r="R42" s="216"/>
      <c r="S42" s="216"/>
      <c r="T42" s="236"/>
      <c r="U42" s="216"/>
      <c r="V42" s="216"/>
      <c r="W42" s="216"/>
      <c r="X42" s="216"/>
      <c r="Y42" s="216"/>
      <c r="Z42" s="280"/>
      <c r="AA42" s="216"/>
      <c r="AB42" s="216"/>
      <c r="AC42" s="216"/>
      <c r="AD42" s="216"/>
      <c r="AE42" s="216"/>
      <c r="AF42" s="216"/>
    </row>
    <row r="43" spans="1:32">
      <c r="A43" s="216"/>
      <c r="B43" s="232" t="s">
        <v>258</v>
      </c>
      <c r="C43" s="279">
        <f>INDEX(N21:N29,MATCH(D35,K21:K29,0))</f>
        <v>0.65778367177786989</v>
      </c>
      <c r="D43" s="279">
        <f>INDEX(N34:N42,MATCH(D35,K34:K42,0))</f>
        <v>0.18520766320729906</v>
      </c>
      <c r="E43" s="232"/>
      <c r="F43" s="232" t="s">
        <v>293</v>
      </c>
      <c r="G43" s="232"/>
      <c r="H43" s="232"/>
      <c r="I43" s="248"/>
      <c r="J43" s="216"/>
      <c r="K43" s="276" t="s">
        <v>294</v>
      </c>
      <c r="L43" s="251"/>
      <c r="M43" s="251"/>
      <c r="N43" s="251"/>
      <c r="O43" s="251"/>
      <c r="P43" s="251"/>
      <c r="Q43" s="251"/>
      <c r="R43" s="251"/>
      <c r="S43" s="251"/>
      <c r="T43" s="252"/>
      <c r="U43" s="216"/>
      <c r="V43" s="216"/>
      <c r="W43" s="216"/>
      <c r="X43" s="216"/>
      <c r="Y43" s="216"/>
      <c r="Z43" s="280"/>
      <c r="AA43" s="216"/>
      <c r="AB43" s="216"/>
      <c r="AC43" s="216"/>
      <c r="AD43" s="216"/>
      <c r="AE43" s="216"/>
      <c r="AF43" s="216"/>
    </row>
    <row r="44" spans="1:32">
      <c r="A44" s="216"/>
      <c r="B44" s="232" t="s">
        <v>266</v>
      </c>
      <c r="C44" s="279">
        <f>INDEX(O21:O29,MATCH(D35,K21:K29,0))</f>
        <v>0</v>
      </c>
      <c r="D44" s="279">
        <f>INDEX(O34:O42,MATCH(D35,K34:K42,0))</f>
        <v>0</v>
      </c>
      <c r="E44" s="232"/>
      <c r="F44" s="232" t="s">
        <v>293</v>
      </c>
      <c r="G44" s="232"/>
      <c r="H44" s="232"/>
      <c r="I44" s="248"/>
      <c r="J44" s="216"/>
      <c r="K44" s="216"/>
      <c r="L44" s="216"/>
      <c r="M44" s="216"/>
      <c r="N44" s="216"/>
      <c r="O44" s="216"/>
      <c r="P44" s="216"/>
      <c r="Q44" s="216"/>
      <c r="R44" s="216"/>
      <c r="S44" s="216"/>
      <c r="T44" s="216"/>
      <c r="U44" s="216"/>
      <c r="V44" s="216"/>
      <c r="W44" s="216"/>
      <c r="X44" s="216"/>
      <c r="Y44" s="216"/>
      <c r="Z44" s="280"/>
      <c r="AA44" s="216"/>
      <c r="AB44" s="216"/>
      <c r="AC44" s="216"/>
      <c r="AD44" s="216"/>
      <c r="AE44" s="216"/>
      <c r="AF44" s="216"/>
    </row>
    <row r="45" spans="1:32" ht="26.25">
      <c r="A45" s="216"/>
      <c r="B45" s="232" t="s">
        <v>263</v>
      </c>
      <c r="C45" s="279">
        <f>INDEX(P21:P29,MATCH(D35,K21:K29,0))</f>
        <v>0</v>
      </c>
      <c r="D45" s="279">
        <f>INDEX(P34:P42,MATCH(D35,K34:K42,0))</f>
        <v>0.15174687948858004</v>
      </c>
      <c r="E45" s="232"/>
      <c r="F45" s="232" t="s">
        <v>293</v>
      </c>
      <c r="G45" s="232"/>
      <c r="H45" s="232"/>
      <c r="I45" s="248"/>
      <c r="J45" s="216"/>
      <c r="K45" s="281" t="s">
        <v>295</v>
      </c>
      <c r="L45" s="282" t="s">
        <v>296</v>
      </c>
      <c r="M45" s="282" t="s">
        <v>297</v>
      </c>
      <c r="N45" s="283" t="s">
        <v>298</v>
      </c>
      <c r="O45" s="284" t="s">
        <v>299</v>
      </c>
      <c r="P45" s="216"/>
      <c r="Q45" s="216"/>
      <c r="R45" s="216"/>
      <c r="S45" s="216"/>
      <c r="T45" s="216"/>
      <c r="U45" s="216"/>
      <c r="V45" s="216"/>
      <c r="W45" s="216"/>
      <c r="X45" s="216"/>
      <c r="Y45" s="216"/>
      <c r="Z45" s="280"/>
      <c r="AA45" s="216"/>
      <c r="AB45" s="216"/>
      <c r="AC45" s="216"/>
      <c r="AD45" s="216"/>
      <c r="AE45" s="216"/>
      <c r="AF45" s="216"/>
    </row>
    <row r="46" spans="1:32">
      <c r="A46" s="216"/>
      <c r="B46" s="232"/>
      <c r="C46" s="232"/>
      <c r="D46" s="232"/>
      <c r="E46" s="232"/>
      <c r="F46" s="232"/>
      <c r="G46" s="232"/>
      <c r="H46" s="232"/>
      <c r="I46" s="248"/>
      <c r="J46" s="216"/>
      <c r="K46" s="285"/>
      <c r="L46" s="286"/>
      <c r="M46" s="286"/>
      <c r="N46" s="287" t="s">
        <v>300</v>
      </c>
      <c r="O46" s="288" t="s">
        <v>301</v>
      </c>
      <c r="P46" s="216"/>
      <c r="Q46" s="216"/>
      <c r="R46" s="216"/>
      <c r="S46" s="216"/>
      <c r="T46" s="216"/>
      <c r="U46" s="216"/>
      <c r="V46" s="216"/>
      <c r="W46" s="216"/>
      <c r="X46" s="216"/>
      <c r="Y46" s="216"/>
      <c r="Z46" s="280"/>
      <c r="AA46" s="216"/>
      <c r="AB46" s="216"/>
      <c r="AC46" s="216"/>
      <c r="AD46" s="216"/>
      <c r="AE46" s="216"/>
      <c r="AF46" s="216"/>
    </row>
    <row r="47" spans="1:32">
      <c r="A47" s="216"/>
      <c r="B47" s="232"/>
      <c r="C47" s="244" t="s">
        <v>302</v>
      </c>
      <c r="D47" s="244"/>
      <c r="E47" s="232"/>
      <c r="F47" s="232"/>
      <c r="G47" s="232"/>
      <c r="H47" s="232"/>
      <c r="I47" s="248"/>
      <c r="J47" s="216"/>
      <c r="K47" s="289"/>
      <c r="L47" s="290"/>
      <c r="M47" s="290"/>
      <c r="N47" s="291" t="s">
        <v>303</v>
      </c>
      <c r="O47" s="292"/>
      <c r="P47" s="216"/>
      <c r="Q47" s="216"/>
      <c r="R47" s="216"/>
      <c r="S47" s="216"/>
      <c r="T47" s="216"/>
      <c r="U47" s="216"/>
      <c r="V47" s="216"/>
      <c r="W47" s="216"/>
      <c r="X47" s="216"/>
      <c r="Y47" s="216"/>
      <c r="Z47" s="280"/>
      <c r="AA47" s="216"/>
      <c r="AB47" s="216"/>
      <c r="AC47" s="216"/>
      <c r="AD47" s="216"/>
      <c r="AE47" s="216"/>
      <c r="AF47" s="216"/>
    </row>
    <row r="48" spans="1:32">
      <c r="A48" s="216"/>
      <c r="B48" s="232" t="s">
        <v>304</v>
      </c>
      <c r="C48" s="279">
        <f>C41*D41*$C$33*$C$37</f>
        <v>0</v>
      </c>
      <c r="D48" s="240"/>
      <c r="E48" s="232"/>
      <c r="F48" s="232" t="s">
        <v>305</v>
      </c>
      <c r="G48" s="232"/>
      <c r="H48" s="232"/>
      <c r="I48" s="248"/>
      <c r="J48" s="216"/>
      <c r="K48" s="293" t="s">
        <v>227</v>
      </c>
      <c r="L48" s="294" t="s">
        <v>306</v>
      </c>
      <c r="M48" s="294" t="s">
        <v>307</v>
      </c>
      <c r="N48" s="294">
        <v>0</v>
      </c>
      <c r="O48" s="295">
        <v>53000</v>
      </c>
      <c r="P48" s="216"/>
      <c r="Q48" s="216"/>
      <c r="R48" s="216"/>
      <c r="S48" s="216"/>
      <c r="T48" s="216"/>
      <c r="U48" s="216"/>
      <c r="V48" s="216"/>
      <c r="W48" s="216"/>
      <c r="X48" s="216"/>
      <c r="Y48" s="216"/>
      <c r="Z48" s="280"/>
      <c r="AA48" s="216"/>
      <c r="AB48" s="216"/>
      <c r="AC48" s="216"/>
      <c r="AD48" s="216"/>
      <c r="AE48" s="216"/>
      <c r="AF48" s="216"/>
    </row>
    <row r="49" spans="1:32">
      <c r="A49" s="216"/>
      <c r="B49" s="232" t="s">
        <v>308</v>
      </c>
      <c r="C49" s="279">
        <f t="shared" ref="C49:C51" si="12">C42*D42*$C$33*$C$37</f>
        <v>0</v>
      </c>
      <c r="D49" s="240"/>
      <c r="E49" s="232"/>
      <c r="F49" s="232" t="s">
        <v>305</v>
      </c>
      <c r="G49" s="232"/>
      <c r="H49" s="232"/>
      <c r="I49" s="248"/>
      <c r="J49" s="216"/>
      <c r="K49" s="293" t="s">
        <v>227</v>
      </c>
      <c r="L49" s="294" t="s">
        <v>309</v>
      </c>
      <c r="M49" s="294" t="s">
        <v>307</v>
      </c>
      <c r="N49" s="294">
        <v>0</v>
      </c>
      <c r="O49" s="295">
        <v>106000</v>
      </c>
      <c r="P49" s="216"/>
      <c r="Q49" s="216"/>
      <c r="R49" s="216"/>
      <c r="S49" s="216"/>
      <c r="T49" s="216"/>
      <c r="U49" s="216"/>
      <c r="V49" s="216"/>
      <c r="W49" s="216"/>
      <c r="X49" s="216"/>
      <c r="Y49" s="216"/>
      <c r="Z49" s="280"/>
      <c r="AA49" s="216"/>
      <c r="AB49" s="216"/>
      <c r="AC49" s="216"/>
      <c r="AD49" s="216"/>
      <c r="AE49" s="216"/>
      <c r="AF49" s="216"/>
    </row>
    <row r="50" spans="1:32">
      <c r="A50" s="216"/>
      <c r="B50" s="232" t="s">
        <v>258</v>
      </c>
      <c r="C50" s="279">
        <f t="shared" si="12"/>
        <v>0</v>
      </c>
      <c r="D50" s="240"/>
      <c r="E50" s="232"/>
      <c r="F50" s="232" t="s">
        <v>305</v>
      </c>
      <c r="G50" s="232"/>
      <c r="H50" s="232"/>
      <c r="I50" s="248"/>
      <c r="J50" s="216"/>
      <c r="K50" s="293" t="s">
        <v>227</v>
      </c>
      <c r="L50" s="294" t="s">
        <v>310</v>
      </c>
      <c r="M50" s="294" t="s">
        <v>311</v>
      </c>
      <c r="N50" s="294">
        <v>0.90500000000000003</v>
      </c>
      <c r="O50" s="295">
        <v>2720000</v>
      </c>
      <c r="P50" s="216"/>
      <c r="Q50" s="216"/>
      <c r="R50" s="216"/>
      <c r="S50" s="216"/>
      <c r="T50" s="216"/>
      <c r="U50" s="216"/>
      <c r="V50" s="216"/>
      <c r="W50" s="216"/>
      <c r="X50" s="216"/>
      <c r="Y50" s="216"/>
      <c r="Z50" s="280"/>
      <c r="AA50" s="216"/>
      <c r="AB50" s="216"/>
      <c r="AC50" s="216"/>
      <c r="AD50" s="216"/>
      <c r="AE50" s="216"/>
      <c r="AF50" s="216"/>
    </row>
    <row r="51" spans="1:32">
      <c r="A51" s="216"/>
      <c r="B51" s="232" t="s">
        <v>266</v>
      </c>
      <c r="C51" s="279">
        <f t="shared" si="12"/>
        <v>0</v>
      </c>
      <c r="D51" s="240"/>
      <c r="E51" s="232"/>
      <c r="F51" s="232" t="s">
        <v>305</v>
      </c>
      <c r="G51" s="232"/>
      <c r="H51" s="232"/>
      <c r="I51" s="248"/>
      <c r="J51" s="216"/>
      <c r="K51" s="293" t="s">
        <v>227</v>
      </c>
      <c r="L51" s="294" t="s">
        <v>312</v>
      </c>
      <c r="M51" s="294" t="s">
        <v>313</v>
      </c>
      <c r="N51" s="294">
        <v>0</v>
      </c>
      <c r="O51" s="295">
        <v>240000</v>
      </c>
      <c r="P51" s="216"/>
      <c r="Q51" s="216"/>
      <c r="R51" s="216"/>
      <c r="S51" s="216"/>
      <c r="T51" s="216"/>
      <c r="U51" s="216"/>
      <c r="V51" s="216"/>
      <c r="W51" s="216"/>
      <c r="X51" s="216"/>
      <c r="Y51" s="216"/>
      <c r="Z51" s="280"/>
      <c r="AA51" s="216"/>
      <c r="AB51" s="216"/>
      <c r="AC51" s="216"/>
      <c r="AD51" s="216"/>
      <c r="AE51" s="216"/>
      <c r="AF51" s="216"/>
    </row>
    <row r="52" spans="1:32">
      <c r="A52" s="216"/>
      <c r="B52" s="232" t="s">
        <v>314</v>
      </c>
      <c r="C52" s="279">
        <f>C45*D45*$C$33*$C$37</f>
        <v>0</v>
      </c>
      <c r="D52" s="240"/>
      <c r="E52" s="232"/>
      <c r="F52" s="232" t="s">
        <v>305</v>
      </c>
      <c r="G52" s="232"/>
      <c r="H52" s="232"/>
      <c r="I52" s="248"/>
      <c r="J52" s="216"/>
      <c r="K52" s="293" t="s">
        <v>227</v>
      </c>
      <c r="L52" s="294" t="s">
        <v>315</v>
      </c>
      <c r="M52" s="294" t="s">
        <v>316</v>
      </c>
      <c r="N52" s="294">
        <v>0</v>
      </c>
      <c r="O52" s="295">
        <v>80000</v>
      </c>
      <c r="P52" s="216"/>
      <c r="Q52" s="216"/>
      <c r="R52" s="216"/>
      <c r="S52" s="216"/>
      <c r="T52" s="216"/>
      <c r="U52" s="216"/>
      <c r="V52" s="216"/>
      <c r="W52" s="216"/>
      <c r="X52" s="216"/>
      <c r="Y52" s="216"/>
      <c r="Z52" s="280"/>
      <c r="AA52" s="216"/>
      <c r="AB52" s="216"/>
      <c r="AC52" s="216"/>
      <c r="AD52" s="216"/>
      <c r="AE52" s="216"/>
      <c r="AF52" s="216"/>
    </row>
    <row r="53" spans="1:32">
      <c r="A53" s="216"/>
      <c r="B53" s="232"/>
      <c r="C53" s="279"/>
      <c r="D53" s="240"/>
      <c r="E53" s="232"/>
      <c r="F53" s="232"/>
      <c r="G53" s="232"/>
      <c r="H53" s="232"/>
      <c r="I53" s="248"/>
      <c r="J53" s="216"/>
      <c r="K53" s="293" t="s">
        <v>227</v>
      </c>
      <c r="L53" s="294" t="s">
        <v>317</v>
      </c>
      <c r="M53" s="294" t="s">
        <v>318</v>
      </c>
      <c r="N53" s="294">
        <v>0.57699999999999996</v>
      </c>
      <c r="O53" s="295">
        <v>664000</v>
      </c>
      <c r="P53" s="216"/>
      <c r="Q53" s="216"/>
      <c r="R53" s="216"/>
      <c r="S53" s="216"/>
      <c r="T53" s="216"/>
      <c r="U53" s="216"/>
      <c r="V53" s="216"/>
      <c r="W53" s="216"/>
      <c r="X53" s="216"/>
      <c r="Y53" s="216"/>
      <c r="Z53" s="280"/>
      <c r="AA53" s="216"/>
      <c r="AB53" s="216"/>
      <c r="AC53" s="216"/>
      <c r="AD53" s="216"/>
      <c r="AE53" s="216"/>
      <c r="AF53" s="216"/>
    </row>
    <row r="54" spans="1:32">
      <c r="A54" s="216"/>
      <c r="B54" s="231" t="s">
        <v>319</v>
      </c>
      <c r="C54" s="279">
        <f>SUM(C48:C52)</f>
        <v>0</v>
      </c>
      <c r="D54" s="240"/>
      <c r="E54" s="232"/>
      <c r="F54" s="232" t="s">
        <v>305</v>
      </c>
      <c r="G54" s="232"/>
      <c r="H54" s="232"/>
      <c r="I54" s="248"/>
      <c r="J54" s="216"/>
      <c r="K54" s="293" t="s">
        <v>227</v>
      </c>
      <c r="L54" s="294" t="s">
        <v>320</v>
      </c>
      <c r="M54" s="294" t="s">
        <v>311</v>
      </c>
      <c r="N54" s="294">
        <v>0.91</v>
      </c>
      <c r="O54" s="295">
        <v>2880000</v>
      </c>
      <c r="P54" s="216"/>
      <c r="Q54" s="216"/>
      <c r="R54" s="216"/>
      <c r="S54" s="216"/>
      <c r="T54" s="216"/>
      <c r="U54" s="216"/>
      <c r="V54" s="216"/>
      <c r="W54" s="216"/>
      <c r="X54" s="216"/>
      <c r="Y54" s="216"/>
      <c r="Z54" s="280"/>
      <c r="AA54" s="216"/>
      <c r="AB54" s="216"/>
      <c r="AC54" s="216"/>
      <c r="AD54" s="216"/>
      <c r="AE54" s="216"/>
      <c r="AF54" s="216"/>
    </row>
    <row r="55" spans="1:32">
      <c r="A55" s="216"/>
      <c r="B55" s="231" t="s">
        <v>319</v>
      </c>
      <c r="C55" s="296">
        <f>C54*10^-3</f>
        <v>0</v>
      </c>
      <c r="D55" s="240"/>
      <c r="E55" s="232"/>
      <c r="F55" s="231" t="s">
        <v>254</v>
      </c>
      <c r="G55" s="232"/>
      <c r="H55" s="232"/>
      <c r="I55" s="248"/>
      <c r="J55" s="216"/>
      <c r="K55" s="293" t="s">
        <v>227</v>
      </c>
      <c r="L55" s="294" t="s">
        <v>321</v>
      </c>
      <c r="M55" s="294" t="s">
        <v>322</v>
      </c>
      <c r="N55" s="294">
        <v>0</v>
      </c>
      <c r="O55" s="295">
        <v>47000</v>
      </c>
      <c r="P55" s="216"/>
      <c r="Q55" s="216"/>
      <c r="R55" s="216"/>
      <c r="S55" s="216"/>
      <c r="T55" s="216"/>
      <c r="U55" s="216"/>
      <c r="V55" s="216"/>
      <c r="W55" s="216"/>
      <c r="X55" s="216"/>
      <c r="Y55" s="216"/>
      <c r="Z55" s="280"/>
      <c r="AA55" s="216"/>
      <c r="AB55" s="216"/>
      <c r="AC55" s="216"/>
      <c r="AD55" s="216"/>
      <c r="AE55" s="216"/>
      <c r="AF55" s="216"/>
    </row>
    <row r="56" spans="1:32">
      <c r="A56" s="216"/>
      <c r="B56" s="232"/>
      <c r="C56" s="232"/>
      <c r="D56" s="232"/>
      <c r="E56" s="232"/>
      <c r="F56" s="232"/>
      <c r="G56" s="232"/>
      <c r="H56" s="232"/>
      <c r="I56" s="248"/>
      <c r="J56" s="216"/>
      <c r="K56" s="293" t="s">
        <v>227</v>
      </c>
      <c r="L56" s="294" t="s">
        <v>323</v>
      </c>
      <c r="M56" s="294" t="s">
        <v>316</v>
      </c>
      <c r="N56" s="294">
        <v>0</v>
      </c>
      <c r="O56" s="295">
        <v>60000</v>
      </c>
      <c r="P56" s="216"/>
      <c r="Q56" s="216"/>
      <c r="R56" s="216"/>
      <c r="S56" s="216"/>
      <c r="T56" s="216"/>
      <c r="U56" s="216"/>
      <c r="V56" s="216"/>
      <c r="W56" s="216"/>
      <c r="X56" s="216"/>
      <c r="Y56" s="216"/>
      <c r="Z56" s="280"/>
      <c r="AA56" s="216"/>
      <c r="AB56" s="216"/>
      <c r="AC56" s="216"/>
      <c r="AD56" s="216"/>
      <c r="AE56" s="216"/>
      <c r="AF56" s="216"/>
    </row>
    <row r="57" spans="1:32">
      <c r="A57" s="216"/>
      <c r="B57" s="297" t="s">
        <v>324</v>
      </c>
      <c r="C57" s="298">
        <f>C55+C29+C15</f>
        <v>8.0944200000000013</v>
      </c>
      <c r="D57" s="297"/>
      <c r="E57" s="299"/>
      <c r="F57" s="297" t="s">
        <v>325</v>
      </c>
      <c r="G57" s="297"/>
      <c r="H57" s="297"/>
      <c r="I57" s="300"/>
      <c r="J57" s="216"/>
      <c r="K57" s="293" t="s">
        <v>227</v>
      </c>
      <c r="L57" s="294" t="s">
        <v>326</v>
      </c>
      <c r="M57" s="294" t="s">
        <v>316</v>
      </c>
      <c r="N57" s="294">
        <v>0</v>
      </c>
      <c r="O57" s="295">
        <v>29000</v>
      </c>
      <c r="P57" s="216"/>
      <c r="Q57" s="216"/>
      <c r="R57" s="216"/>
      <c r="S57" s="216"/>
      <c r="T57" s="216"/>
      <c r="U57" s="216"/>
      <c r="V57" s="216"/>
      <c r="W57" s="216"/>
      <c r="X57" s="216"/>
      <c r="Y57" s="216"/>
      <c r="Z57" s="280"/>
      <c r="AA57" s="216"/>
      <c r="AB57" s="216"/>
      <c r="AC57" s="216"/>
      <c r="AD57" s="216"/>
      <c r="AE57" s="216"/>
      <c r="AF57" s="216"/>
    </row>
    <row r="58" spans="1:32" ht="17.25">
      <c r="A58" s="216"/>
      <c r="B58" s="221" t="s">
        <v>215</v>
      </c>
      <c r="C58" s="231"/>
      <c r="D58" s="231"/>
      <c r="E58" s="301"/>
      <c r="F58" s="231"/>
      <c r="G58" s="231"/>
      <c r="H58" s="231"/>
      <c r="I58" s="272"/>
      <c r="J58" s="216"/>
      <c r="K58" s="293" t="s">
        <v>227</v>
      </c>
      <c r="L58" s="294" t="s">
        <v>327</v>
      </c>
      <c r="M58" s="294" t="s">
        <v>328</v>
      </c>
      <c r="N58" s="294">
        <v>0.89600000000000002</v>
      </c>
      <c r="O58" s="295">
        <v>51000</v>
      </c>
      <c r="P58" s="216"/>
      <c r="Q58" s="216"/>
      <c r="R58" s="216"/>
      <c r="S58" s="216"/>
      <c r="T58" s="216"/>
      <c r="U58" s="216"/>
      <c r="V58" s="216"/>
      <c r="W58" s="216"/>
      <c r="X58" s="216"/>
      <c r="Y58" s="216"/>
      <c r="Z58" s="280"/>
      <c r="AA58" s="216"/>
      <c r="AB58" s="216"/>
      <c r="AC58" s="216"/>
      <c r="AD58" s="216"/>
      <c r="AE58" s="216"/>
      <c r="AF58" s="216"/>
    </row>
    <row r="59" spans="1:32">
      <c r="A59" s="216"/>
      <c r="B59" s="231" t="s">
        <v>56</v>
      </c>
      <c r="C59" s="231"/>
      <c r="D59" s="231"/>
      <c r="E59" s="301"/>
      <c r="F59" s="231"/>
      <c r="G59" s="231"/>
      <c r="H59" s="231"/>
      <c r="I59" s="272"/>
      <c r="J59" s="216"/>
      <c r="K59" s="293" t="s">
        <v>227</v>
      </c>
      <c r="L59" s="294" t="s">
        <v>329</v>
      </c>
      <c r="M59" s="294" t="s">
        <v>311</v>
      </c>
      <c r="N59" s="294">
        <v>0.98799999999999999</v>
      </c>
      <c r="O59" s="295">
        <v>2100000</v>
      </c>
      <c r="P59" s="216"/>
      <c r="Q59" s="216"/>
      <c r="R59" s="216"/>
      <c r="S59" s="216"/>
      <c r="T59" s="216"/>
      <c r="U59" s="216"/>
      <c r="V59" s="216"/>
      <c r="W59" s="216"/>
      <c r="X59" s="216"/>
      <c r="Y59" s="216"/>
      <c r="Z59" s="280"/>
      <c r="AA59" s="216"/>
      <c r="AB59" s="216"/>
      <c r="AC59" s="216"/>
      <c r="AD59" s="216"/>
      <c r="AE59" s="216"/>
      <c r="AF59" s="216"/>
    </row>
    <row r="60" spans="1:32">
      <c r="A60" s="216"/>
      <c r="B60" s="232" t="s">
        <v>224</v>
      </c>
      <c r="C60" s="302">
        <f>'Data input'!D100*10^-3</f>
        <v>3</v>
      </c>
      <c r="D60" s="231"/>
      <c r="E60" s="301"/>
      <c r="F60" s="241" t="s">
        <v>225</v>
      </c>
      <c r="G60" s="231"/>
      <c r="H60" s="231"/>
      <c r="I60" s="272"/>
      <c r="J60" s="216"/>
      <c r="K60" s="293" t="s">
        <v>227</v>
      </c>
      <c r="L60" s="294" t="s">
        <v>330</v>
      </c>
      <c r="M60" s="294" t="s">
        <v>311</v>
      </c>
      <c r="N60" s="294">
        <v>0.85</v>
      </c>
      <c r="O60" s="295">
        <v>1340000</v>
      </c>
      <c r="P60" s="216"/>
      <c r="Q60" s="216"/>
      <c r="R60" s="216"/>
      <c r="S60" s="216"/>
      <c r="T60" s="216"/>
      <c r="U60" s="216"/>
      <c r="V60" s="216"/>
      <c r="W60" s="216"/>
      <c r="X60" s="216"/>
      <c r="Y60" s="216"/>
      <c r="Z60" s="280"/>
      <c r="AA60" s="216"/>
      <c r="AB60" s="216"/>
      <c r="AC60" s="216"/>
      <c r="AD60" s="216"/>
      <c r="AE60" s="216"/>
      <c r="AF60" s="216"/>
    </row>
    <row r="61" spans="1:32">
      <c r="A61" s="216"/>
      <c r="B61" s="232" t="s">
        <v>229</v>
      </c>
      <c r="C61" s="232">
        <f>C6</f>
        <v>38.6</v>
      </c>
      <c r="D61" s="231"/>
      <c r="E61" s="301"/>
      <c r="F61" s="241" t="s">
        <v>230</v>
      </c>
      <c r="G61" s="231"/>
      <c r="H61" s="231"/>
      <c r="I61" s="234" t="s">
        <v>226</v>
      </c>
      <c r="J61" s="216"/>
      <c r="K61" s="293" t="s">
        <v>227</v>
      </c>
      <c r="L61" s="294" t="s">
        <v>331</v>
      </c>
      <c r="M61" s="294" t="s">
        <v>311</v>
      </c>
      <c r="N61" s="294">
        <v>1.0549999999999999</v>
      </c>
      <c r="O61" s="295">
        <v>600000</v>
      </c>
      <c r="P61" s="216"/>
      <c r="Q61" s="216"/>
      <c r="R61" s="216"/>
      <c r="S61" s="216"/>
      <c r="T61" s="216"/>
      <c r="U61" s="216"/>
      <c r="V61" s="216"/>
      <c r="W61" s="216"/>
      <c r="X61" s="216"/>
      <c r="Y61" s="216"/>
      <c r="Z61" s="280"/>
      <c r="AA61" s="216"/>
      <c r="AB61" s="216"/>
      <c r="AC61" s="216"/>
      <c r="AD61" s="216"/>
      <c r="AE61" s="216"/>
      <c r="AF61" s="216"/>
    </row>
    <row r="62" spans="1:32">
      <c r="A62" s="216"/>
      <c r="B62" s="232" t="s">
        <v>332</v>
      </c>
      <c r="C62" s="232">
        <v>0.1</v>
      </c>
      <c r="D62" s="231"/>
      <c r="E62" s="301"/>
      <c r="F62" s="241" t="s">
        <v>250</v>
      </c>
      <c r="G62" s="231"/>
      <c r="H62" s="231"/>
      <c r="I62" s="234" t="s">
        <v>226</v>
      </c>
      <c r="J62" s="216"/>
      <c r="K62" s="293" t="s">
        <v>227</v>
      </c>
      <c r="L62" s="294" t="s">
        <v>333</v>
      </c>
      <c r="M62" s="294" t="s">
        <v>311</v>
      </c>
      <c r="N62" s="294">
        <v>1.1060000000000001</v>
      </c>
      <c r="O62" s="295">
        <v>150000</v>
      </c>
      <c r="P62" s="216"/>
      <c r="Q62" s="216"/>
      <c r="R62" s="216"/>
      <c r="S62" s="216"/>
      <c r="T62" s="216"/>
      <c r="U62" s="216"/>
      <c r="V62" s="216"/>
      <c r="W62" s="216"/>
      <c r="X62" s="216"/>
      <c r="Y62" s="216"/>
      <c r="Z62" s="280"/>
      <c r="AA62" s="216"/>
      <c r="AB62" s="216"/>
      <c r="AC62" s="216"/>
      <c r="AD62" s="216"/>
      <c r="AE62" s="216"/>
      <c r="AF62" s="216"/>
    </row>
    <row r="63" spans="1:32">
      <c r="A63" s="216"/>
      <c r="B63" s="232" t="s">
        <v>334</v>
      </c>
      <c r="C63" s="232">
        <v>0.2</v>
      </c>
      <c r="D63" s="231"/>
      <c r="E63" s="301"/>
      <c r="F63" s="241" t="s">
        <v>250</v>
      </c>
      <c r="G63" s="231"/>
      <c r="H63" s="231"/>
      <c r="I63" s="234" t="s">
        <v>226</v>
      </c>
      <c r="J63" s="216"/>
      <c r="K63" s="293" t="s">
        <v>227</v>
      </c>
      <c r="L63" s="294" t="s">
        <v>335</v>
      </c>
      <c r="M63" s="294" t="s">
        <v>316</v>
      </c>
      <c r="N63" s="294">
        <v>0</v>
      </c>
      <c r="O63" s="295">
        <v>240000</v>
      </c>
      <c r="P63" s="216"/>
      <c r="Q63" s="216"/>
      <c r="R63" s="216"/>
      <c r="S63" s="216"/>
      <c r="T63" s="216"/>
      <c r="U63" s="216"/>
      <c r="V63" s="216"/>
      <c r="W63" s="216"/>
      <c r="X63" s="216"/>
      <c r="Y63" s="216"/>
      <c r="Z63" s="280"/>
      <c r="AA63" s="216"/>
      <c r="AB63" s="216"/>
      <c r="AC63" s="216"/>
      <c r="AD63" s="216"/>
      <c r="AE63" s="216"/>
      <c r="AF63" s="216"/>
    </row>
    <row r="64" spans="1:32">
      <c r="A64" s="216"/>
      <c r="B64" s="231"/>
      <c r="C64" s="231"/>
      <c r="D64" s="231"/>
      <c r="E64" s="301"/>
      <c r="F64" s="233"/>
      <c r="G64" s="231"/>
      <c r="H64" s="231"/>
      <c r="I64" s="272"/>
      <c r="J64" s="216"/>
      <c r="K64" s="293" t="s">
        <v>227</v>
      </c>
      <c r="L64" s="294" t="s">
        <v>336</v>
      </c>
      <c r="M64" s="294" t="s">
        <v>318</v>
      </c>
      <c r="N64" s="294">
        <v>0.45</v>
      </c>
      <c r="O64" s="295">
        <v>176000</v>
      </c>
      <c r="P64" s="216"/>
      <c r="Q64" s="216"/>
      <c r="R64" s="216"/>
      <c r="S64" s="216"/>
      <c r="T64" s="216"/>
      <c r="U64" s="216"/>
      <c r="V64" s="216"/>
      <c r="W64" s="216"/>
      <c r="X64" s="216"/>
      <c r="Y64" s="216"/>
      <c r="Z64" s="280"/>
      <c r="AA64" s="216"/>
      <c r="AB64" s="216"/>
      <c r="AC64" s="216"/>
      <c r="AD64" s="216"/>
      <c r="AE64" s="216"/>
      <c r="AF64" s="216"/>
    </row>
    <row r="65" spans="1:32">
      <c r="A65" s="216"/>
      <c r="B65" s="231" t="s">
        <v>337</v>
      </c>
      <c r="C65" s="231" t="s">
        <v>236</v>
      </c>
      <c r="D65" s="232"/>
      <c r="E65" s="232"/>
      <c r="F65" s="241"/>
      <c r="G65" s="232"/>
      <c r="H65" s="231"/>
      <c r="I65" s="234" t="s">
        <v>243</v>
      </c>
      <c r="J65" s="216"/>
      <c r="K65" s="293" t="s">
        <v>227</v>
      </c>
      <c r="L65" s="294" t="s">
        <v>338</v>
      </c>
      <c r="M65" s="294" t="s">
        <v>318</v>
      </c>
      <c r="N65" s="294">
        <v>0.36899999999999999</v>
      </c>
      <c r="O65" s="295">
        <v>430000</v>
      </c>
      <c r="P65" s="216"/>
      <c r="Q65" s="216"/>
      <c r="R65" s="216"/>
      <c r="S65" s="216"/>
      <c r="T65" s="216"/>
      <c r="U65" s="216"/>
      <c r="V65" s="216"/>
      <c r="W65" s="216"/>
      <c r="X65" s="216"/>
      <c r="Y65" s="216"/>
      <c r="Z65" s="280"/>
      <c r="AA65" s="216"/>
      <c r="AB65" s="216"/>
      <c r="AC65" s="216"/>
      <c r="AD65" s="216"/>
      <c r="AE65" s="216"/>
      <c r="AF65" s="216"/>
    </row>
    <row r="66" spans="1:32">
      <c r="A66" s="216"/>
      <c r="B66" s="231"/>
      <c r="C66" s="232" t="s">
        <v>238</v>
      </c>
      <c r="D66" s="232"/>
      <c r="E66" s="232"/>
      <c r="F66" s="241" t="s">
        <v>339</v>
      </c>
      <c r="G66" s="232"/>
      <c r="H66" s="231"/>
      <c r="I66" s="272"/>
      <c r="J66" s="216"/>
      <c r="K66" s="293" t="s">
        <v>227</v>
      </c>
      <c r="L66" s="294" t="s">
        <v>340</v>
      </c>
      <c r="M66" s="294" t="s">
        <v>316</v>
      </c>
      <c r="N66" s="294">
        <v>0</v>
      </c>
      <c r="O66" s="295">
        <v>616000</v>
      </c>
      <c r="P66" s="216"/>
      <c r="Q66" s="216"/>
      <c r="R66" s="216"/>
      <c r="S66" s="216"/>
      <c r="T66" s="216"/>
      <c r="U66" s="216"/>
      <c r="V66" s="216"/>
      <c r="W66" s="216"/>
      <c r="X66" s="216"/>
      <c r="Y66" s="216"/>
      <c r="Z66" s="280"/>
      <c r="AA66" s="216"/>
      <c r="AB66" s="216"/>
      <c r="AC66" s="216"/>
      <c r="AD66" s="216"/>
      <c r="AE66" s="216"/>
      <c r="AF66" s="216"/>
    </row>
    <row r="67" spans="1:32">
      <c r="A67" s="216"/>
      <c r="B67" s="231"/>
      <c r="C67" s="232" t="s">
        <v>241</v>
      </c>
      <c r="D67" s="232"/>
      <c r="E67" s="232"/>
      <c r="F67" s="241" t="s">
        <v>225</v>
      </c>
      <c r="G67" s="232"/>
      <c r="H67" s="231"/>
      <c r="I67" s="272"/>
      <c r="J67" s="216"/>
      <c r="K67" s="293" t="s">
        <v>227</v>
      </c>
      <c r="L67" s="294" t="s">
        <v>341</v>
      </c>
      <c r="M67" s="294" t="s">
        <v>316</v>
      </c>
      <c r="N67" s="294">
        <v>0</v>
      </c>
      <c r="O67" s="295">
        <v>1500000</v>
      </c>
      <c r="P67" s="216"/>
      <c r="Q67" s="216"/>
      <c r="R67" s="216"/>
      <c r="S67" s="216"/>
      <c r="T67" s="216"/>
      <c r="U67" s="216"/>
      <c r="V67" s="216"/>
      <c r="W67" s="216"/>
      <c r="X67" s="216"/>
      <c r="Y67" s="216"/>
      <c r="Z67" s="280"/>
      <c r="AA67" s="216"/>
      <c r="AB67" s="216"/>
      <c r="AC67" s="216"/>
      <c r="AD67" s="216"/>
      <c r="AE67" s="216"/>
      <c r="AF67" s="216"/>
    </row>
    <row r="68" spans="1:32">
      <c r="A68" s="216"/>
      <c r="B68" s="231"/>
      <c r="C68" s="232" t="s">
        <v>245</v>
      </c>
      <c r="D68" s="232"/>
      <c r="E68" s="232"/>
      <c r="F68" s="241" t="s">
        <v>342</v>
      </c>
      <c r="G68" s="232"/>
      <c r="H68" s="231"/>
      <c r="I68" s="272"/>
      <c r="J68" s="216"/>
      <c r="K68" s="293" t="s">
        <v>227</v>
      </c>
      <c r="L68" s="294" t="s">
        <v>343</v>
      </c>
      <c r="M68" s="294" t="s">
        <v>313</v>
      </c>
      <c r="N68" s="294">
        <v>0</v>
      </c>
      <c r="O68" s="295">
        <v>400000</v>
      </c>
      <c r="P68" s="216"/>
      <c r="Q68" s="216"/>
      <c r="R68" s="216"/>
      <c r="S68" s="216"/>
      <c r="T68" s="216"/>
      <c r="U68" s="216"/>
      <c r="V68" s="216"/>
      <c r="W68" s="216"/>
      <c r="X68" s="216"/>
      <c r="Y68" s="216"/>
      <c r="Z68" s="280"/>
      <c r="AA68" s="216"/>
      <c r="AB68" s="216"/>
      <c r="AC68" s="216"/>
      <c r="AD68" s="216"/>
      <c r="AE68" s="216"/>
      <c r="AF68" s="216"/>
    </row>
    <row r="69" spans="1:32">
      <c r="A69" s="216"/>
      <c r="B69" s="231"/>
      <c r="C69" s="232" t="s">
        <v>249</v>
      </c>
      <c r="D69" s="232"/>
      <c r="E69" s="232"/>
      <c r="F69" s="241" t="s">
        <v>250</v>
      </c>
      <c r="G69" s="232"/>
      <c r="H69" s="231"/>
      <c r="I69" s="272"/>
      <c r="J69" s="216"/>
      <c r="K69" s="293" t="s">
        <v>227</v>
      </c>
      <c r="L69" s="294" t="s">
        <v>344</v>
      </c>
      <c r="M69" s="294" t="s">
        <v>318</v>
      </c>
      <c r="N69" s="294">
        <v>0.57699999999999996</v>
      </c>
      <c r="O69" s="295">
        <v>664000</v>
      </c>
      <c r="P69" s="216"/>
      <c r="Q69" s="216"/>
      <c r="R69" s="216"/>
      <c r="S69" s="216"/>
      <c r="T69" s="216"/>
      <c r="U69" s="216"/>
      <c r="V69" s="216"/>
      <c r="W69" s="216"/>
      <c r="X69" s="216"/>
      <c r="Y69" s="216"/>
      <c r="Z69" s="280"/>
      <c r="AA69" s="216"/>
      <c r="AB69" s="216"/>
      <c r="AC69" s="216"/>
      <c r="AD69" s="216"/>
      <c r="AE69" s="216"/>
      <c r="AF69" s="216"/>
    </row>
    <row r="70" spans="1:32">
      <c r="A70" s="216"/>
      <c r="B70" s="231"/>
      <c r="C70" s="231"/>
      <c r="D70" s="231"/>
      <c r="E70" s="301"/>
      <c r="F70" s="233"/>
      <c r="G70" s="231"/>
      <c r="H70" s="231"/>
      <c r="I70" s="272"/>
      <c r="J70" s="216"/>
      <c r="K70" s="293" t="s">
        <v>227</v>
      </c>
      <c r="L70" s="294" t="s">
        <v>345</v>
      </c>
      <c r="M70" s="294" t="s">
        <v>311</v>
      </c>
      <c r="N70" s="294">
        <v>0.91300000000000003</v>
      </c>
      <c r="O70" s="295">
        <v>1320000</v>
      </c>
      <c r="P70" s="216"/>
      <c r="Q70" s="216"/>
      <c r="R70" s="216"/>
      <c r="S70" s="216"/>
      <c r="T70" s="216"/>
      <c r="U70" s="216"/>
      <c r="V70" s="216"/>
      <c r="W70" s="216"/>
      <c r="X70" s="216"/>
      <c r="Y70" s="216"/>
      <c r="Z70" s="280"/>
      <c r="AA70" s="216"/>
      <c r="AB70" s="216"/>
      <c r="AC70" s="216"/>
      <c r="AD70" s="216"/>
      <c r="AE70" s="216"/>
      <c r="AF70" s="216"/>
    </row>
    <row r="71" spans="1:32">
      <c r="A71" s="216"/>
      <c r="B71" s="231" t="s">
        <v>346</v>
      </c>
      <c r="C71" s="303">
        <f>(C60*C61*C62)*10^-3</f>
        <v>1.1580000000000002E-2</v>
      </c>
      <c r="D71" s="231"/>
      <c r="E71" s="301"/>
      <c r="F71" s="241" t="s">
        <v>347</v>
      </c>
      <c r="G71" s="231"/>
      <c r="H71" s="231"/>
      <c r="I71" s="272"/>
      <c r="J71" s="216"/>
      <c r="K71" s="293" t="s">
        <v>227</v>
      </c>
      <c r="L71" s="294" t="s">
        <v>348</v>
      </c>
      <c r="M71" s="294" t="s">
        <v>311</v>
      </c>
      <c r="N71" s="294">
        <v>0.95099999999999996</v>
      </c>
      <c r="O71" s="295">
        <v>960000</v>
      </c>
      <c r="P71" s="216"/>
      <c r="Q71" s="216"/>
      <c r="R71" s="216"/>
      <c r="S71" s="216"/>
      <c r="T71" s="216"/>
      <c r="U71" s="216"/>
      <c r="V71" s="216"/>
      <c r="W71" s="216"/>
      <c r="X71" s="216"/>
      <c r="Y71" s="216"/>
      <c r="Z71" s="280"/>
      <c r="AA71" s="216"/>
      <c r="AB71" s="216"/>
      <c r="AC71" s="216"/>
      <c r="AD71" s="216"/>
      <c r="AE71" s="216"/>
      <c r="AF71" s="216"/>
    </row>
    <row r="72" spans="1:32">
      <c r="A72" s="216"/>
      <c r="B72" s="231" t="s">
        <v>349</v>
      </c>
      <c r="C72" s="303">
        <f>(C60*C61*C63)*10^-3</f>
        <v>2.3160000000000004E-2</v>
      </c>
      <c r="D72" s="231"/>
      <c r="E72" s="301"/>
      <c r="F72" s="241" t="s">
        <v>347</v>
      </c>
      <c r="G72" s="231"/>
      <c r="H72" s="231"/>
      <c r="I72" s="272"/>
      <c r="J72" s="216"/>
      <c r="K72" s="293" t="s">
        <v>227</v>
      </c>
      <c r="L72" s="294" t="s">
        <v>350</v>
      </c>
      <c r="M72" s="294" t="s">
        <v>322</v>
      </c>
      <c r="N72" s="294">
        <v>0</v>
      </c>
      <c r="O72" s="295">
        <v>48000</v>
      </c>
      <c r="P72" s="216"/>
      <c r="Q72" s="216"/>
      <c r="R72" s="216"/>
      <c r="S72" s="216"/>
      <c r="T72" s="216"/>
      <c r="U72" s="216"/>
      <c r="V72" s="216"/>
      <c r="W72" s="216"/>
      <c r="X72" s="216"/>
      <c r="Y72" s="216"/>
      <c r="Z72" s="280"/>
      <c r="AA72" s="216"/>
      <c r="AB72" s="216"/>
      <c r="AC72" s="216"/>
      <c r="AD72" s="216"/>
      <c r="AE72" s="216"/>
      <c r="AF72" s="216"/>
    </row>
    <row r="73" spans="1:32">
      <c r="A73" s="216"/>
      <c r="B73" s="231"/>
      <c r="C73" s="231"/>
      <c r="D73" s="231"/>
      <c r="E73" s="301"/>
      <c r="F73" s="233"/>
      <c r="G73" s="231"/>
      <c r="H73" s="231"/>
      <c r="I73" s="272"/>
      <c r="J73" s="216"/>
      <c r="K73" s="293" t="s">
        <v>222</v>
      </c>
      <c r="L73" s="294" t="s">
        <v>351</v>
      </c>
      <c r="M73" s="294" t="s">
        <v>318</v>
      </c>
      <c r="N73" s="294">
        <v>0.46200000000000002</v>
      </c>
      <c r="O73" s="295">
        <v>55000</v>
      </c>
      <c r="P73" s="216"/>
      <c r="Q73" s="216"/>
      <c r="R73" s="216"/>
      <c r="S73" s="216"/>
      <c r="T73" s="216"/>
      <c r="U73" s="216"/>
      <c r="V73" s="216"/>
      <c r="W73" s="216"/>
      <c r="X73" s="216"/>
      <c r="Y73" s="216"/>
      <c r="Z73" s="280"/>
      <c r="AA73" s="216"/>
      <c r="AB73" s="216"/>
      <c r="AC73" s="216"/>
      <c r="AD73" s="216"/>
      <c r="AE73" s="216"/>
      <c r="AF73" s="216"/>
    </row>
    <row r="74" spans="1:32" ht="17.25">
      <c r="A74" s="216"/>
      <c r="B74" s="258" t="s">
        <v>258</v>
      </c>
      <c r="C74" s="231"/>
      <c r="D74" s="231"/>
      <c r="E74" s="301"/>
      <c r="F74" s="233"/>
      <c r="G74" s="231"/>
      <c r="H74" s="231"/>
      <c r="I74" s="272"/>
      <c r="J74" s="216"/>
      <c r="K74" s="293" t="s">
        <v>222</v>
      </c>
      <c r="L74" s="294" t="s">
        <v>352</v>
      </c>
      <c r="M74" s="294" t="s">
        <v>316</v>
      </c>
      <c r="N74" s="294">
        <v>0</v>
      </c>
      <c r="O74" s="295">
        <v>60000</v>
      </c>
      <c r="P74" s="216"/>
      <c r="Q74" s="216"/>
      <c r="R74" s="216"/>
      <c r="S74" s="216"/>
      <c r="T74" s="216"/>
      <c r="U74" s="280"/>
      <c r="V74" s="280"/>
      <c r="W74" s="280"/>
      <c r="X74" s="280"/>
      <c r="Y74" s="280"/>
      <c r="Z74" s="280"/>
      <c r="AA74" s="216"/>
      <c r="AB74" s="216"/>
      <c r="AC74" s="216"/>
      <c r="AD74" s="216"/>
      <c r="AE74" s="216"/>
      <c r="AF74" s="216"/>
    </row>
    <row r="75" spans="1:32">
      <c r="A75" s="216"/>
      <c r="B75" s="231" t="s">
        <v>56</v>
      </c>
      <c r="C75" s="231"/>
      <c r="D75" s="231"/>
      <c r="E75" s="301"/>
      <c r="F75" s="233"/>
      <c r="G75" s="231"/>
      <c r="H75" s="231"/>
      <c r="I75" s="272"/>
      <c r="J75" s="216"/>
      <c r="K75" s="293" t="s">
        <v>222</v>
      </c>
      <c r="L75" s="294" t="s">
        <v>353</v>
      </c>
      <c r="M75" s="294" t="s">
        <v>318</v>
      </c>
      <c r="N75" s="294">
        <v>0.61599999999999999</v>
      </c>
      <c r="O75" s="295">
        <v>504000</v>
      </c>
      <c r="P75" s="216"/>
      <c r="Q75" s="216"/>
      <c r="R75" s="216"/>
      <c r="S75" s="216"/>
      <c r="T75" s="216"/>
      <c r="U75" s="216"/>
      <c r="V75" s="216"/>
      <c r="W75" s="216"/>
      <c r="X75" s="216"/>
      <c r="Y75" s="216"/>
      <c r="Z75" s="216"/>
      <c r="AA75" s="216"/>
      <c r="AB75" s="216"/>
      <c r="AC75" s="216"/>
      <c r="AD75" s="216"/>
      <c r="AE75" s="216"/>
      <c r="AF75" s="216"/>
    </row>
    <row r="76" spans="1:32">
      <c r="A76" s="216"/>
      <c r="B76" s="232" t="s">
        <v>354</v>
      </c>
      <c r="C76" s="302">
        <f>'Data input'!D101*10^-3</f>
        <v>0</v>
      </c>
      <c r="D76" s="231"/>
      <c r="E76" s="301"/>
      <c r="F76" s="241" t="s">
        <v>225</v>
      </c>
      <c r="G76" s="231"/>
      <c r="H76" s="231"/>
      <c r="I76" s="234"/>
      <c r="J76" s="216"/>
      <c r="K76" s="293" t="s">
        <v>222</v>
      </c>
      <c r="L76" s="294" t="s">
        <v>355</v>
      </c>
      <c r="M76" s="294" t="s">
        <v>318</v>
      </c>
      <c r="N76" s="294">
        <v>0.61599999999999999</v>
      </c>
      <c r="O76" s="295">
        <v>459000</v>
      </c>
      <c r="P76" s="216"/>
      <c r="Q76" s="216"/>
      <c r="R76" s="216"/>
      <c r="S76" s="216"/>
      <c r="T76" s="216"/>
      <c r="U76" s="216"/>
      <c r="V76" s="216"/>
      <c r="W76" s="216"/>
      <c r="X76" s="216"/>
      <c r="Y76" s="216"/>
      <c r="Z76" s="216"/>
      <c r="AA76" s="216"/>
      <c r="AB76" s="216"/>
      <c r="AC76" s="216"/>
      <c r="AD76" s="216"/>
      <c r="AE76" s="216"/>
      <c r="AF76" s="216"/>
    </row>
    <row r="77" spans="1:32">
      <c r="A77" s="216"/>
      <c r="B77" s="232" t="s">
        <v>229</v>
      </c>
      <c r="C77" s="232">
        <f>C20</f>
        <v>25.7</v>
      </c>
      <c r="D77" s="231"/>
      <c r="E77" s="301"/>
      <c r="F77" s="241" t="s">
        <v>230</v>
      </c>
      <c r="G77" s="231"/>
      <c r="H77" s="231"/>
      <c r="I77" s="234" t="s">
        <v>226</v>
      </c>
      <c r="J77" s="216"/>
      <c r="K77" s="293" t="s">
        <v>222</v>
      </c>
      <c r="L77" s="294" t="s">
        <v>356</v>
      </c>
      <c r="M77" s="294" t="s">
        <v>311</v>
      </c>
      <c r="N77" s="294">
        <v>0.92700000000000005</v>
      </c>
      <c r="O77" s="295">
        <v>700000</v>
      </c>
      <c r="P77" s="216"/>
      <c r="Q77" s="280"/>
      <c r="R77" s="280"/>
      <c r="S77" s="280"/>
      <c r="T77" s="280"/>
      <c r="U77" s="216"/>
      <c r="V77" s="216"/>
      <c r="W77" s="216"/>
      <c r="X77" s="216"/>
      <c r="Y77" s="216"/>
      <c r="Z77" s="216"/>
      <c r="AA77" s="216"/>
      <c r="AB77" s="216"/>
      <c r="AC77" s="216"/>
      <c r="AD77" s="216"/>
      <c r="AE77" s="216"/>
      <c r="AF77" s="216"/>
    </row>
    <row r="78" spans="1:32">
      <c r="A78" s="216"/>
      <c r="B78" s="232" t="s">
        <v>357</v>
      </c>
      <c r="C78" s="232">
        <v>0.2</v>
      </c>
      <c r="D78" s="231"/>
      <c r="E78" s="301"/>
      <c r="F78" s="241" t="s">
        <v>250</v>
      </c>
      <c r="G78" s="231"/>
      <c r="H78" s="231"/>
      <c r="I78" s="234" t="s">
        <v>226</v>
      </c>
      <c r="J78" s="216"/>
      <c r="K78" s="293" t="s">
        <v>222</v>
      </c>
      <c r="L78" s="294" t="s">
        <v>358</v>
      </c>
      <c r="M78" s="294" t="s">
        <v>311</v>
      </c>
      <c r="N78" s="294">
        <v>0.93700000000000006</v>
      </c>
      <c r="O78" s="295">
        <v>810000</v>
      </c>
      <c r="P78" s="216"/>
      <c r="Q78" s="280"/>
      <c r="R78" s="216"/>
      <c r="S78" s="216"/>
      <c r="T78" s="216"/>
      <c r="U78" s="216"/>
      <c r="V78" s="216"/>
      <c r="W78" s="216"/>
      <c r="X78" s="216"/>
      <c r="Y78" s="216"/>
      <c r="Z78" s="216"/>
      <c r="AA78" s="216"/>
      <c r="AB78" s="216"/>
      <c r="AC78" s="216"/>
      <c r="AD78" s="216"/>
      <c r="AE78" s="216"/>
      <c r="AF78" s="216"/>
    </row>
    <row r="79" spans="1:32">
      <c r="A79" s="216"/>
      <c r="B79" s="232" t="s">
        <v>359</v>
      </c>
      <c r="C79" s="232">
        <v>0.2</v>
      </c>
      <c r="D79" s="231"/>
      <c r="E79" s="301"/>
      <c r="F79" s="241" t="s">
        <v>250</v>
      </c>
      <c r="G79" s="231"/>
      <c r="H79" s="231"/>
      <c r="I79" s="234" t="s">
        <v>226</v>
      </c>
      <c r="J79" s="216"/>
      <c r="K79" s="293" t="s">
        <v>222</v>
      </c>
      <c r="L79" s="294" t="s">
        <v>360</v>
      </c>
      <c r="M79" s="294" t="s">
        <v>311</v>
      </c>
      <c r="N79" s="294">
        <v>1.1619999999999999</v>
      </c>
      <c r="O79" s="295">
        <v>190000</v>
      </c>
      <c r="P79" s="216"/>
      <c r="Q79" s="280"/>
      <c r="R79" s="216"/>
      <c r="S79" s="216"/>
      <c r="T79" s="216"/>
      <c r="U79" s="216"/>
      <c r="V79" s="216"/>
      <c r="W79" s="216"/>
      <c r="X79" s="216"/>
      <c r="Y79" s="216"/>
      <c r="Z79" s="216"/>
      <c r="AA79" s="216"/>
      <c r="AB79" s="216"/>
      <c r="AC79" s="216"/>
      <c r="AD79" s="216"/>
      <c r="AE79" s="216"/>
      <c r="AF79" s="216"/>
    </row>
    <row r="80" spans="1:32">
      <c r="A80" s="216"/>
      <c r="B80" s="231"/>
      <c r="C80" s="231"/>
      <c r="D80" s="231"/>
      <c r="E80" s="301"/>
      <c r="F80" s="233"/>
      <c r="G80" s="231"/>
      <c r="H80" s="231"/>
      <c r="I80" s="272"/>
      <c r="J80" s="216"/>
      <c r="K80" s="293" t="s">
        <v>222</v>
      </c>
      <c r="L80" s="294" t="s">
        <v>361</v>
      </c>
      <c r="M80" s="294" t="s">
        <v>318</v>
      </c>
      <c r="N80" s="294">
        <v>0.38500000000000001</v>
      </c>
      <c r="O80" s="295">
        <v>140000</v>
      </c>
      <c r="P80" s="216"/>
      <c r="Q80" s="280"/>
      <c r="R80" s="216"/>
      <c r="S80" s="216"/>
      <c r="T80" s="216"/>
      <c r="U80" s="216"/>
      <c r="V80" s="216"/>
      <c r="W80" s="216"/>
      <c r="X80" s="216"/>
      <c r="Y80" s="216"/>
      <c r="Z80" s="216"/>
      <c r="AA80" s="216"/>
      <c r="AB80" s="216"/>
      <c r="AC80" s="216"/>
      <c r="AD80" s="216"/>
      <c r="AE80" s="216"/>
      <c r="AF80" s="216"/>
    </row>
    <row r="81" spans="1:32">
      <c r="A81" s="216"/>
      <c r="B81" s="231" t="s">
        <v>362</v>
      </c>
      <c r="C81" s="231" t="s">
        <v>236</v>
      </c>
      <c r="D81" s="231"/>
      <c r="E81" s="301"/>
      <c r="F81" s="233"/>
      <c r="G81" s="231"/>
      <c r="H81" s="231"/>
      <c r="I81" s="234" t="s">
        <v>243</v>
      </c>
      <c r="J81" s="216"/>
      <c r="K81" s="293" t="s">
        <v>222</v>
      </c>
      <c r="L81" s="294" t="s">
        <v>363</v>
      </c>
      <c r="M81" s="294" t="s">
        <v>318</v>
      </c>
      <c r="N81" s="294">
        <v>0.40100000000000002</v>
      </c>
      <c r="O81" s="295">
        <v>630000</v>
      </c>
      <c r="P81" s="216"/>
      <c r="Q81" s="280"/>
      <c r="R81" s="216"/>
      <c r="S81" s="216"/>
      <c r="T81" s="216"/>
      <c r="U81" s="216"/>
      <c r="V81" s="216"/>
      <c r="W81" s="216"/>
      <c r="X81" s="216"/>
      <c r="Y81" s="216"/>
      <c r="Z81" s="216"/>
      <c r="AA81" s="216"/>
      <c r="AB81" s="216"/>
      <c r="AC81" s="216"/>
      <c r="AD81" s="216"/>
      <c r="AE81" s="216"/>
      <c r="AF81" s="216"/>
    </row>
    <row r="82" spans="1:32">
      <c r="A82" s="216"/>
      <c r="B82" s="232"/>
      <c r="C82" s="232" t="s">
        <v>238</v>
      </c>
      <c r="D82" s="232"/>
      <c r="E82" s="302"/>
      <c r="F82" s="241" t="s">
        <v>339</v>
      </c>
      <c r="G82" s="231"/>
      <c r="H82" s="231"/>
      <c r="I82" s="272"/>
      <c r="J82" s="216"/>
      <c r="K82" s="293" t="s">
        <v>222</v>
      </c>
      <c r="L82" s="294" t="s">
        <v>364</v>
      </c>
      <c r="M82" s="294" t="s">
        <v>311</v>
      </c>
      <c r="N82" s="294">
        <v>0.94199999999999995</v>
      </c>
      <c r="O82" s="295">
        <v>1680000</v>
      </c>
      <c r="P82" s="216"/>
      <c r="Q82" s="280"/>
      <c r="R82" s="216"/>
      <c r="S82" s="216"/>
      <c r="T82" s="216"/>
      <c r="U82" s="216"/>
      <c r="V82" s="216"/>
      <c r="W82" s="216"/>
      <c r="X82" s="216"/>
      <c r="Y82" s="216"/>
      <c r="Z82" s="216"/>
      <c r="AA82" s="216"/>
      <c r="AB82" s="216"/>
      <c r="AC82" s="216"/>
      <c r="AD82" s="216"/>
      <c r="AE82" s="216"/>
      <c r="AF82" s="216"/>
    </row>
    <row r="83" spans="1:32">
      <c r="A83" s="216"/>
      <c r="B83" s="232"/>
      <c r="C83" s="232" t="s">
        <v>241</v>
      </c>
      <c r="D83" s="232"/>
      <c r="E83" s="302"/>
      <c r="F83" s="241" t="s">
        <v>225</v>
      </c>
      <c r="G83" s="231"/>
      <c r="H83" s="231"/>
      <c r="I83" s="272"/>
      <c r="J83" s="216"/>
      <c r="K83" s="293" t="s">
        <v>222</v>
      </c>
      <c r="L83" s="294" t="s">
        <v>365</v>
      </c>
      <c r="M83" s="294" t="s">
        <v>316</v>
      </c>
      <c r="N83" s="294">
        <v>0</v>
      </c>
      <c r="O83" s="295">
        <v>81000</v>
      </c>
      <c r="P83" s="216"/>
      <c r="Q83" s="280"/>
      <c r="R83" s="216"/>
      <c r="S83" s="216"/>
      <c r="T83" s="216"/>
      <c r="U83" s="216"/>
      <c r="V83" s="216"/>
      <c r="W83" s="216"/>
      <c r="X83" s="216"/>
      <c r="Y83" s="216"/>
      <c r="Z83" s="216"/>
      <c r="AA83" s="216"/>
      <c r="AB83" s="216"/>
      <c r="AC83" s="216"/>
      <c r="AD83" s="216"/>
      <c r="AE83" s="216"/>
      <c r="AF83" s="216"/>
    </row>
    <row r="84" spans="1:32">
      <c r="A84" s="216"/>
      <c r="B84" s="231"/>
      <c r="C84" s="232" t="s">
        <v>245</v>
      </c>
      <c r="D84" s="232"/>
      <c r="E84" s="302"/>
      <c r="F84" s="241" t="s">
        <v>342</v>
      </c>
      <c r="G84" s="231"/>
      <c r="H84" s="231"/>
      <c r="I84" s="272"/>
      <c r="J84" s="216"/>
      <c r="K84" s="293" t="s">
        <v>222</v>
      </c>
      <c r="L84" s="294" t="s">
        <v>366</v>
      </c>
      <c r="M84" s="294" t="s">
        <v>311</v>
      </c>
      <c r="N84" s="294">
        <v>0.90200000000000002</v>
      </c>
      <c r="O84" s="295">
        <v>750000</v>
      </c>
      <c r="P84" s="216"/>
      <c r="Q84" s="280"/>
      <c r="R84" s="216"/>
      <c r="S84" s="216"/>
      <c r="T84" s="216"/>
      <c r="U84" s="216"/>
      <c r="V84" s="216"/>
      <c r="W84" s="216"/>
      <c r="X84" s="216"/>
      <c r="Y84" s="216"/>
      <c r="Z84" s="216"/>
      <c r="AA84" s="216"/>
      <c r="AB84" s="216"/>
      <c r="AC84" s="216"/>
      <c r="AD84" s="216"/>
      <c r="AE84" s="216"/>
      <c r="AF84" s="216"/>
    </row>
    <row r="85" spans="1:32">
      <c r="A85" s="216"/>
      <c r="B85" s="232"/>
      <c r="C85" s="232" t="s">
        <v>249</v>
      </c>
      <c r="D85" s="231"/>
      <c r="E85" s="302"/>
      <c r="F85" s="241" t="s">
        <v>250</v>
      </c>
      <c r="G85" s="231"/>
      <c r="H85" s="231"/>
      <c r="I85" s="272"/>
      <c r="J85" s="216"/>
      <c r="K85" s="293" t="s">
        <v>222</v>
      </c>
      <c r="L85" s="294" t="s">
        <v>367</v>
      </c>
      <c r="M85" s="294" t="s">
        <v>328</v>
      </c>
      <c r="N85" s="294">
        <v>0.89600000000000002</v>
      </c>
      <c r="O85" s="295">
        <v>34000</v>
      </c>
      <c r="P85" s="216"/>
      <c r="Q85" s="280"/>
      <c r="R85" s="216"/>
      <c r="S85" s="216"/>
      <c r="T85" s="216"/>
      <c r="U85" s="216"/>
      <c r="V85" s="216"/>
      <c r="W85" s="216"/>
      <c r="X85" s="216"/>
      <c r="Y85" s="216"/>
      <c r="Z85" s="216"/>
      <c r="AA85" s="216"/>
      <c r="AB85" s="216"/>
      <c r="AC85" s="216"/>
      <c r="AD85" s="216"/>
      <c r="AE85" s="216"/>
      <c r="AF85" s="216"/>
    </row>
    <row r="86" spans="1:32">
      <c r="A86" s="216"/>
      <c r="B86" s="231"/>
      <c r="C86" s="301"/>
      <c r="D86" s="231"/>
      <c r="E86" s="301"/>
      <c r="F86" s="233"/>
      <c r="G86" s="231"/>
      <c r="H86" s="231"/>
      <c r="I86" s="272"/>
      <c r="J86" s="216"/>
      <c r="K86" s="293" t="s">
        <v>222</v>
      </c>
      <c r="L86" s="294" t="s">
        <v>368</v>
      </c>
      <c r="M86" s="294" t="s">
        <v>311</v>
      </c>
      <c r="N86" s="294">
        <v>0.89800000000000002</v>
      </c>
      <c r="O86" s="295">
        <v>851000</v>
      </c>
      <c r="P86" s="216"/>
      <c r="Q86" s="216"/>
      <c r="R86" s="216"/>
      <c r="S86" s="216"/>
      <c r="T86" s="216"/>
      <c r="U86" s="216"/>
      <c r="V86" s="216"/>
      <c r="W86" s="216"/>
      <c r="X86" s="216"/>
      <c r="Y86" s="216"/>
      <c r="Z86" s="216"/>
      <c r="AA86" s="216"/>
      <c r="AB86" s="216"/>
      <c r="AC86" s="216"/>
      <c r="AD86" s="216"/>
      <c r="AE86" s="216"/>
      <c r="AF86" s="216"/>
    </row>
    <row r="87" spans="1:32">
      <c r="A87" s="216"/>
      <c r="B87" s="231" t="s">
        <v>369</v>
      </c>
      <c r="C87" s="302">
        <f>(C76*C77*C78)*10^-3</f>
        <v>0</v>
      </c>
      <c r="D87" s="231"/>
      <c r="E87" s="301"/>
      <c r="F87" s="241" t="s">
        <v>179</v>
      </c>
      <c r="G87" s="231"/>
      <c r="H87" s="231"/>
      <c r="I87" s="272"/>
      <c r="J87" s="216"/>
      <c r="K87" s="293" t="s">
        <v>222</v>
      </c>
      <c r="L87" s="294" t="s">
        <v>370</v>
      </c>
      <c r="M87" s="294" t="s">
        <v>328</v>
      </c>
      <c r="N87" s="294">
        <v>0.83599999999999997</v>
      </c>
      <c r="O87" s="295">
        <v>418000</v>
      </c>
      <c r="P87" s="216"/>
      <c r="Q87" s="216"/>
      <c r="R87" s="216"/>
      <c r="S87" s="216"/>
      <c r="T87" s="216"/>
      <c r="U87" s="216"/>
      <c r="V87" s="216"/>
      <c r="W87" s="216"/>
      <c r="X87" s="216"/>
      <c r="Y87" s="216"/>
      <c r="Z87" s="216"/>
      <c r="AA87" s="216"/>
      <c r="AB87" s="216"/>
      <c r="AC87" s="216"/>
      <c r="AD87" s="216"/>
      <c r="AE87" s="216"/>
      <c r="AF87" s="216"/>
    </row>
    <row r="88" spans="1:32">
      <c r="A88" s="216"/>
      <c r="B88" s="231" t="s">
        <v>371</v>
      </c>
      <c r="C88" s="302">
        <f>(C76*C77*C79)*10^-3</f>
        <v>0</v>
      </c>
      <c r="D88" s="232"/>
      <c r="E88" s="302"/>
      <c r="F88" s="241" t="s">
        <v>179</v>
      </c>
      <c r="G88" s="231"/>
      <c r="H88" s="231"/>
      <c r="I88" s="272"/>
      <c r="J88" s="216"/>
      <c r="K88" s="293" t="s">
        <v>222</v>
      </c>
      <c r="L88" s="294" t="s">
        <v>372</v>
      </c>
      <c r="M88" s="294" t="s">
        <v>318</v>
      </c>
      <c r="N88" s="294">
        <v>0.56699999999999995</v>
      </c>
      <c r="O88" s="295">
        <v>282000</v>
      </c>
      <c r="P88" s="216"/>
      <c r="Q88" s="216"/>
      <c r="R88" s="216"/>
      <c r="S88" s="216"/>
      <c r="T88" s="216"/>
      <c r="U88" s="216"/>
      <c r="V88" s="216"/>
      <c r="W88" s="216"/>
      <c r="X88" s="216"/>
      <c r="Y88" s="216"/>
      <c r="Z88" s="216"/>
      <c r="AA88" s="216"/>
      <c r="AB88" s="216"/>
      <c r="AC88" s="216"/>
      <c r="AD88" s="216"/>
      <c r="AE88" s="216"/>
      <c r="AF88" s="216"/>
    </row>
    <row r="89" spans="1:32">
      <c r="A89" s="216"/>
      <c r="B89" s="231"/>
      <c r="C89" s="301"/>
      <c r="D89" s="231"/>
      <c r="E89" s="301"/>
      <c r="F89" s="233"/>
      <c r="G89" s="231"/>
      <c r="H89" s="231"/>
      <c r="I89" s="272"/>
      <c r="J89" s="216"/>
      <c r="K89" s="293" t="s">
        <v>222</v>
      </c>
      <c r="L89" s="294" t="s">
        <v>373</v>
      </c>
      <c r="M89" s="294" t="s">
        <v>318</v>
      </c>
      <c r="N89" s="294">
        <v>0.61599999999999999</v>
      </c>
      <c r="O89" s="295">
        <v>80000</v>
      </c>
      <c r="P89" s="216"/>
      <c r="Q89" s="216"/>
      <c r="R89" s="216"/>
      <c r="S89" s="216"/>
      <c r="T89" s="216"/>
      <c r="U89" s="216"/>
      <c r="V89" s="216"/>
      <c r="W89" s="216"/>
      <c r="X89" s="216"/>
      <c r="Y89" s="216"/>
      <c r="Z89" s="216"/>
      <c r="AA89" s="216"/>
      <c r="AB89" s="216"/>
      <c r="AC89" s="216"/>
      <c r="AD89" s="216"/>
      <c r="AE89" s="216"/>
      <c r="AF89" s="216"/>
    </row>
    <row r="90" spans="1:32">
      <c r="A90" s="216"/>
      <c r="B90" s="231" t="s">
        <v>374</v>
      </c>
      <c r="C90" s="301">
        <f>C87+C71</f>
        <v>1.1580000000000002E-2</v>
      </c>
      <c r="D90" s="269"/>
      <c r="E90" s="301"/>
      <c r="F90" s="233" t="s">
        <v>179</v>
      </c>
      <c r="G90" s="231"/>
      <c r="H90" s="231"/>
      <c r="I90" s="272"/>
      <c r="J90" s="216"/>
      <c r="K90" s="293" t="s">
        <v>222</v>
      </c>
      <c r="L90" s="294" t="s">
        <v>375</v>
      </c>
      <c r="M90" s="294" t="s">
        <v>311</v>
      </c>
      <c r="N90" s="294">
        <v>0.89400000000000002</v>
      </c>
      <c r="O90" s="295">
        <v>1440000</v>
      </c>
      <c r="P90" s="216"/>
      <c r="Q90" s="216"/>
      <c r="R90" s="216"/>
      <c r="S90" s="216"/>
      <c r="T90" s="216"/>
      <c r="U90" s="216"/>
      <c r="V90" s="216"/>
      <c r="W90" s="216"/>
      <c r="X90" s="216"/>
      <c r="Y90" s="216"/>
      <c r="Z90" s="216"/>
      <c r="AA90" s="216"/>
      <c r="AB90" s="216"/>
      <c r="AC90" s="216"/>
      <c r="AD90" s="216"/>
      <c r="AE90" s="216"/>
      <c r="AF90" s="216"/>
    </row>
    <row r="91" spans="1:32">
      <c r="A91" s="216"/>
      <c r="B91" s="297" t="s">
        <v>376</v>
      </c>
      <c r="C91" s="298">
        <f>C88+C72</f>
        <v>2.3160000000000004E-2</v>
      </c>
      <c r="D91" s="299"/>
      <c r="E91" s="304"/>
      <c r="F91" s="305" t="s">
        <v>179</v>
      </c>
      <c r="G91" s="304"/>
      <c r="H91" s="304"/>
      <c r="I91" s="300"/>
      <c r="J91" s="216"/>
      <c r="K91" s="293" t="s">
        <v>222</v>
      </c>
      <c r="L91" s="294" t="s">
        <v>377</v>
      </c>
      <c r="M91" s="294" t="s">
        <v>311</v>
      </c>
      <c r="N91" s="294">
        <v>1.0669999999999999</v>
      </c>
      <c r="O91" s="295">
        <v>480000</v>
      </c>
      <c r="P91" s="216"/>
      <c r="Q91" s="216"/>
      <c r="R91" s="216"/>
      <c r="S91" s="216"/>
      <c r="T91" s="216"/>
      <c r="U91" s="216"/>
      <c r="V91" s="216"/>
      <c r="W91" s="216"/>
      <c r="X91" s="216"/>
      <c r="Y91" s="216"/>
      <c r="Z91" s="216"/>
      <c r="AA91" s="216"/>
      <c r="AB91" s="216"/>
      <c r="AC91" s="216"/>
      <c r="AD91" s="216"/>
      <c r="AE91" s="216"/>
      <c r="AF91" s="216"/>
    </row>
    <row r="92" spans="1:32">
      <c r="A92" s="216"/>
      <c r="B92" s="216"/>
      <c r="C92" s="216"/>
      <c r="D92" s="216"/>
      <c r="E92" s="216"/>
      <c r="F92" s="216"/>
      <c r="G92" s="216"/>
      <c r="H92" s="216"/>
      <c r="I92" s="216"/>
      <c r="J92" s="216"/>
      <c r="K92" s="293" t="s">
        <v>222</v>
      </c>
      <c r="L92" s="294" t="s">
        <v>378</v>
      </c>
      <c r="M92" s="294" t="s">
        <v>318</v>
      </c>
      <c r="N92" s="294">
        <v>0.39300000000000002</v>
      </c>
      <c r="O92" s="295">
        <v>385000</v>
      </c>
      <c r="P92" s="216"/>
      <c r="Q92" s="216"/>
      <c r="R92" s="216"/>
      <c r="S92" s="216"/>
      <c r="T92" s="216"/>
      <c r="U92" s="216"/>
      <c r="V92" s="216"/>
      <c r="W92" s="216"/>
      <c r="X92" s="216"/>
      <c r="Y92" s="216"/>
      <c r="Z92" s="216"/>
      <c r="AA92" s="216"/>
      <c r="AB92" s="216"/>
      <c r="AC92" s="216"/>
      <c r="AD92" s="216"/>
      <c r="AE92" s="216"/>
      <c r="AF92" s="216"/>
    </row>
    <row r="93" spans="1:32">
      <c r="A93" s="216"/>
      <c r="B93" s="219" t="s">
        <v>379</v>
      </c>
      <c r="C93" s="216"/>
      <c r="D93" s="216"/>
      <c r="E93" s="216"/>
      <c r="F93" s="216"/>
      <c r="G93" s="216"/>
      <c r="H93" s="216"/>
      <c r="I93" s="216"/>
      <c r="J93" s="216"/>
      <c r="K93" s="293" t="s">
        <v>222</v>
      </c>
      <c r="L93" s="294" t="s">
        <v>380</v>
      </c>
      <c r="M93" s="294" t="s">
        <v>311</v>
      </c>
      <c r="N93" s="294">
        <v>0.91600000000000004</v>
      </c>
      <c r="O93" s="295">
        <v>1400000</v>
      </c>
      <c r="P93" s="216"/>
      <c r="Q93" s="216"/>
      <c r="R93" s="216"/>
      <c r="S93" s="216"/>
      <c r="T93" s="216"/>
      <c r="U93" s="216"/>
      <c r="V93" s="216"/>
      <c r="W93" s="216"/>
      <c r="X93" s="216"/>
      <c r="Y93" s="216"/>
      <c r="Z93" s="216"/>
      <c r="AA93" s="216"/>
      <c r="AB93" s="216"/>
      <c r="AC93" s="216"/>
      <c r="AD93" s="216"/>
      <c r="AE93" s="216"/>
      <c r="AF93" s="216"/>
    </row>
    <row r="94" spans="1:32">
      <c r="A94" s="216"/>
      <c r="B94" s="216" t="s">
        <v>381</v>
      </c>
      <c r="C94" s="216"/>
      <c r="D94" s="216"/>
      <c r="E94" s="216"/>
      <c r="F94" s="216"/>
      <c r="G94" s="216"/>
      <c r="H94" s="216"/>
      <c r="I94" s="216"/>
      <c r="J94" s="216"/>
      <c r="K94" s="293" t="s">
        <v>222</v>
      </c>
      <c r="L94" s="294" t="s">
        <v>382</v>
      </c>
      <c r="M94" s="294" t="s">
        <v>311</v>
      </c>
      <c r="N94" s="294">
        <v>0.84599999999999997</v>
      </c>
      <c r="O94" s="295">
        <v>443000</v>
      </c>
      <c r="P94" s="216"/>
      <c r="Q94" s="216"/>
      <c r="R94" s="216"/>
      <c r="S94" s="216"/>
      <c r="T94" s="216"/>
      <c r="U94" s="216"/>
      <c r="V94" s="216"/>
      <c r="W94" s="216"/>
      <c r="X94" s="216"/>
      <c r="Y94" s="216"/>
      <c r="Z94" s="216"/>
      <c r="AA94" s="216"/>
      <c r="AB94" s="216"/>
      <c r="AC94" s="216"/>
      <c r="AD94" s="216"/>
      <c r="AE94" s="216"/>
      <c r="AF94" s="216"/>
    </row>
    <row r="95" spans="1:32">
      <c r="A95" s="216"/>
      <c r="B95" s="216" t="s">
        <v>383</v>
      </c>
      <c r="C95" s="216"/>
      <c r="D95" s="216"/>
      <c r="E95" s="216"/>
      <c r="F95" s="216"/>
      <c r="G95" s="216"/>
      <c r="H95" s="216"/>
      <c r="I95" s="216"/>
      <c r="J95" s="216"/>
      <c r="K95" s="293" t="s">
        <v>222</v>
      </c>
      <c r="L95" s="294" t="s">
        <v>384</v>
      </c>
      <c r="M95" s="294" t="s">
        <v>318</v>
      </c>
      <c r="N95" s="294">
        <v>0.40100000000000002</v>
      </c>
      <c r="O95" s="295">
        <v>240000</v>
      </c>
      <c r="P95" s="216"/>
      <c r="Q95" s="216"/>
      <c r="R95" s="216"/>
      <c r="S95" s="216"/>
      <c r="T95" s="216"/>
      <c r="U95" s="216"/>
      <c r="V95" s="216"/>
      <c r="W95" s="216"/>
      <c r="X95" s="216"/>
      <c r="Y95" s="216"/>
      <c r="Z95" s="216"/>
      <c r="AA95" s="216"/>
      <c r="AB95" s="216"/>
      <c r="AC95" s="216"/>
      <c r="AD95" s="216"/>
      <c r="AE95" s="216"/>
      <c r="AF95" s="216"/>
    </row>
    <row r="96" spans="1:32">
      <c r="A96" s="216"/>
      <c r="B96" s="216" t="s">
        <v>385</v>
      </c>
      <c r="C96" s="216"/>
      <c r="D96" s="216"/>
      <c r="E96" s="216"/>
      <c r="F96" s="216"/>
      <c r="G96" s="216"/>
      <c r="H96" s="216"/>
      <c r="I96" s="216"/>
      <c r="J96" s="216"/>
      <c r="K96" s="293" t="s">
        <v>222</v>
      </c>
      <c r="L96" s="294" t="s">
        <v>386</v>
      </c>
      <c r="M96" s="294" t="s">
        <v>316</v>
      </c>
      <c r="N96" s="294">
        <v>0</v>
      </c>
      <c r="O96" s="295">
        <v>500000</v>
      </c>
      <c r="P96" s="216"/>
      <c r="Q96" s="216"/>
      <c r="R96" s="216"/>
      <c r="S96" s="216"/>
      <c r="T96" s="216"/>
      <c r="U96" s="216"/>
      <c r="V96" s="216"/>
      <c r="W96" s="216"/>
      <c r="X96" s="216"/>
      <c r="Y96" s="216"/>
      <c r="Z96" s="216"/>
      <c r="AA96" s="216"/>
      <c r="AB96" s="216"/>
      <c r="AC96" s="216"/>
      <c r="AD96" s="216"/>
      <c r="AE96" s="216"/>
      <c r="AF96" s="216"/>
    </row>
    <row r="97" spans="1:32">
      <c r="A97" s="216"/>
      <c r="B97" s="216" t="s">
        <v>387</v>
      </c>
      <c r="C97" s="216"/>
      <c r="D97" s="216"/>
      <c r="E97" s="216"/>
      <c r="F97" s="216"/>
      <c r="G97" s="216"/>
      <c r="H97" s="216"/>
      <c r="I97" s="216"/>
      <c r="J97" s="216"/>
      <c r="K97" s="293" t="s">
        <v>222</v>
      </c>
      <c r="L97" s="294" t="s">
        <v>388</v>
      </c>
      <c r="M97" s="294" t="s">
        <v>313</v>
      </c>
      <c r="N97" s="294">
        <v>0</v>
      </c>
      <c r="O97" s="295">
        <v>480000</v>
      </c>
      <c r="P97" s="216"/>
      <c r="Q97" s="216"/>
      <c r="R97" s="216"/>
      <c r="S97" s="216"/>
      <c r="T97" s="216"/>
      <c r="U97" s="216"/>
      <c r="V97" s="216"/>
      <c r="W97" s="216"/>
      <c r="X97" s="216"/>
      <c r="Y97" s="216"/>
      <c r="Z97" s="216"/>
      <c r="AA97" s="216"/>
      <c r="AB97" s="216"/>
      <c r="AC97" s="216"/>
      <c r="AD97" s="216"/>
      <c r="AE97" s="216"/>
      <c r="AF97" s="216"/>
    </row>
    <row r="98" spans="1:32">
      <c r="A98" s="216"/>
      <c r="B98" s="216"/>
      <c r="C98" s="216"/>
      <c r="D98" s="216"/>
      <c r="E98" s="216"/>
      <c r="F98" s="216"/>
      <c r="G98" s="216"/>
      <c r="H98" s="216"/>
      <c r="I98" s="216"/>
      <c r="J98" s="216"/>
      <c r="K98" s="293" t="s">
        <v>222</v>
      </c>
      <c r="L98" s="294" t="s">
        <v>389</v>
      </c>
      <c r="M98" s="294" t="s">
        <v>318</v>
      </c>
      <c r="N98" s="294">
        <v>0.54300000000000004</v>
      </c>
      <c r="O98" s="295">
        <v>168000</v>
      </c>
      <c r="P98" s="216"/>
      <c r="Q98" s="216"/>
      <c r="R98" s="216"/>
      <c r="S98" s="216"/>
      <c r="T98" s="216"/>
      <c r="U98" s="216"/>
      <c r="V98" s="216"/>
      <c r="W98" s="216"/>
      <c r="X98" s="216"/>
      <c r="Y98" s="216"/>
      <c r="Z98" s="216"/>
      <c r="AA98" s="216"/>
      <c r="AB98" s="216"/>
      <c r="AC98" s="216"/>
      <c r="AD98" s="216"/>
      <c r="AE98" s="216"/>
      <c r="AF98" s="216"/>
    </row>
    <row r="99" spans="1:32">
      <c r="A99" s="216"/>
      <c r="B99" s="216"/>
      <c r="C99" s="216"/>
      <c r="D99" s="216"/>
      <c r="E99" s="216"/>
      <c r="F99" s="216"/>
      <c r="G99" s="216"/>
      <c r="H99" s="216"/>
      <c r="I99" s="216"/>
      <c r="J99" s="216"/>
      <c r="K99" s="293" t="s">
        <v>98</v>
      </c>
      <c r="L99" s="294" t="s">
        <v>390</v>
      </c>
      <c r="M99" s="294" t="s">
        <v>328</v>
      </c>
      <c r="N99" s="294">
        <v>0.94</v>
      </c>
      <c r="O99" s="295">
        <v>50000</v>
      </c>
      <c r="P99" s="216"/>
      <c r="Q99" s="216"/>
      <c r="R99" s="216"/>
      <c r="S99" s="216"/>
      <c r="T99" s="216"/>
      <c r="U99" s="216"/>
      <c r="V99" s="216"/>
      <c r="W99" s="216"/>
      <c r="X99" s="216"/>
      <c r="Y99" s="216"/>
      <c r="Z99" s="216"/>
      <c r="AA99" s="216"/>
      <c r="AB99" s="216"/>
      <c r="AC99" s="216"/>
      <c r="AD99" s="216"/>
      <c r="AE99" s="216"/>
      <c r="AF99" s="216"/>
    </row>
    <row r="100" spans="1:32">
      <c r="A100" s="216"/>
      <c r="B100" s="216"/>
      <c r="C100" s="216"/>
      <c r="D100" s="216"/>
      <c r="E100" s="216"/>
      <c r="F100" s="216"/>
      <c r="G100" s="216"/>
      <c r="H100" s="216"/>
      <c r="I100" s="216"/>
      <c r="J100" s="216"/>
      <c r="K100" s="293" t="s">
        <v>98</v>
      </c>
      <c r="L100" s="294" t="s">
        <v>391</v>
      </c>
      <c r="M100" s="294" t="s">
        <v>322</v>
      </c>
      <c r="N100" s="294">
        <v>0</v>
      </c>
      <c r="O100" s="295">
        <v>53000</v>
      </c>
      <c r="P100" s="216"/>
      <c r="Q100" s="216"/>
      <c r="R100" s="216"/>
      <c r="S100" s="216"/>
      <c r="T100" s="216"/>
      <c r="U100" s="216"/>
      <c r="V100" s="216"/>
      <c r="W100" s="216"/>
      <c r="X100" s="216"/>
      <c r="Y100" s="216"/>
      <c r="Z100" s="216"/>
      <c r="AA100" s="216"/>
      <c r="AB100" s="216"/>
      <c r="AC100" s="216"/>
      <c r="AD100" s="216"/>
      <c r="AE100" s="216"/>
      <c r="AF100" s="216"/>
    </row>
    <row r="101" spans="1:32">
      <c r="A101" s="216"/>
      <c r="B101" s="216"/>
      <c r="C101" s="216"/>
      <c r="D101" s="216"/>
      <c r="E101" s="216"/>
      <c r="F101" s="216"/>
      <c r="G101" s="216"/>
      <c r="H101" s="216"/>
      <c r="I101" s="216"/>
      <c r="J101" s="216"/>
      <c r="K101" s="293" t="s">
        <v>98</v>
      </c>
      <c r="L101" s="294" t="s">
        <v>392</v>
      </c>
      <c r="M101" s="294" t="s">
        <v>322</v>
      </c>
      <c r="N101" s="294">
        <v>0</v>
      </c>
      <c r="O101" s="295">
        <v>57000</v>
      </c>
      <c r="P101" s="216"/>
      <c r="Q101" s="216"/>
      <c r="R101" s="216"/>
      <c r="S101" s="216"/>
      <c r="T101" s="216"/>
      <c r="U101" s="216"/>
      <c r="V101" s="216"/>
      <c r="W101" s="216"/>
      <c r="X101" s="216"/>
      <c r="Y101" s="216"/>
      <c r="Z101" s="216"/>
      <c r="AA101" s="216"/>
      <c r="AB101" s="216"/>
      <c r="AC101" s="216"/>
      <c r="AD101" s="216"/>
      <c r="AE101" s="216"/>
      <c r="AF101" s="216"/>
    </row>
    <row r="102" spans="1:32">
      <c r="A102" s="216"/>
      <c r="B102" s="216"/>
      <c r="C102" s="216"/>
      <c r="D102" s="216"/>
      <c r="E102" s="216"/>
      <c r="F102" s="216"/>
      <c r="G102" s="216"/>
      <c r="H102" s="216"/>
      <c r="I102" s="216"/>
      <c r="J102" s="216"/>
      <c r="K102" s="293" t="s">
        <v>98</v>
      </c>
      <c r="L102" s="294" t="s">
        <v>393</v>
      </c>
      <c r="M102" s="294" t="s">
        <v>318</v>
      </c>
      <c r="N102" s="294">
        <v>0.71</v>
      </c>
      <c r="O102" s="295">
        <v>156000</v>
      </c>
      <c r="P102" s="216"/>
      <c r="Q102" s="216"/>
      <c r="R102" s="216"/>
      <c r="S102" s="216"/>
      <c r="T102" s="216"/>
      <c r="U102" s="216"/>
      <c r="V102" s="216"/>
      <c r="W102" s="216"/>
      <c r="X102" s="216"/>
      <c r="Y102" s="216"/>
      <c r="Z102" s="216"/>
      <c r="AA102" s="216"/>
      <c r="AB102" s="216"/>
      <c r="AC102" s="216"/>
      <c r="AD102" s="216"/>
      <c r="AE102" s="216"/>
      <c r="AF102" s="216"/>
    </row>
    <row r="103" spans="1:32">
      <c r="A103" s="216"/>
      <c r="B103" s="216"/>
      <c r="C103" s="216"/>
      <c r="D103" s="216"/>
      <c r="E103" s="216"/>
      <c r="F103" s="216"/>
      <c r="G103" s="216"/>
      <c r="H103" s="216"/>
      <c r="I103" s="216"/>
      <c r="J103" s="216"/>
      <c r="K103" s="293" t="s">
        <v>98</v>
      </c>
      <c r="L103" s="294" t="s">
        <v>394</v>
      </c>
      <c r="M103" s="294" t="s">
        <v>318</v>
      </c>
      <c r="N103" s="294">
        <v>0.77</v>
      </c>
      <c r="O103" s="295">
        <v>200000</v>
      </c>
      <c r="P103" s="216"/>
      <c r="Q103" s="216"/>
      <c r="R103" s="216"/>
      <c r="S103" s="216"/>
      <c r="T103" s="216"/>
      <c r="U103" s="216"/>
      <c r="V103" s="216"/>
      <c r="W103" s="216"/>
      <c r="X103" s="216"/>
      <c r="Y103" s="216"/>
      <c r="Z103" s="216"/>
      <c r="AA103" s="216"/>
      <c r="AB103" s="216"/>
      <c r="AC103" s="216"/>
      <c r="AD103" s="216"/>
      <c r="AE103" s="216"/>
      <c r="AF103" s="216"/>
    </row>
    <row r="104" spans="1:32">
      <c r="A104" s="216"/>
      <c r="B104" s="216"/>
      <c r="C104" s="216"/>
      <c r="D104" s="216"/>
      <c r="E104" s="216"/>
      <c r="F104" s="216"/>
      <c r="G104" s="216"/>
      <c r="H104" s="216"/>
      <c r="I104" s="216"/>
      <c r="J104" s="216"/>
      <c r="K104" s="293" t="s">
        <v>98</v>
      </c>
      <c r="L104" s="294" t="s">
        <v>395</v>
      </c>
      <c r="M104" s="294" t="s">
        <v>322</v>
      </c>
      <c r="N104" s="294">
        <v>0</v>
      </c>
      <c r="O104" s="295">
        <v>71000</v>
      </c>
      <c r="P104" s="216"/>
      <c r="Q104" s="216"/>
      <c r="R104" s="216"/>
      <c r="S104" s="216"/>
      <c r="T104" s="216"/>
      <c r="U104" s="216"/>
      <c r="V104" s="216"/>
      <c r="W104" s="216"/>
      <c r="X104" s="216"/>
      <c r="Y104" s="216"/>
      <c r="Z104" s="216"/>
      <c r="AA104" s="216"/>
      <c r="AB104" s="216"/>
      <c r="AC104" s="216"/>
      <c r="AD104" s="216"/>
      <c r="AE104" s="216"/>
      <c r="AF104" s="216"/>
    </row>
    <row r="105" spans="1:32">
      <c r="A105" s="216"/>
      <c r="B105" s="216"/>
      <c r="C105" s="216"/>
      <c r="D105" s="216"/>
      <c r="E105" s="216"/>
      <c r="F105" s="216"/>
      <c r="G105" s="216"/>
      <c r="H105" s="216"/>
      <c r="I105" s="216"/>
      <c r="J105" s="216"/>
      <c r="K105" s="293" t="s">
        <v>98</v>
      </c>
      <c r="L105" s="294" t="s">
        <v>396</v>
      </c>
      <c r="M105" s="294" t="s">
        <v>322</v>
      </c>
      <c r="N105" s="294">
        <v>0</v>
      </c>
      <c r="O105" s="295">
        <v>95000</v>
      </c>
      <c r="P105" s="216"/>
      <c r="Q105" s="216"/>
      <c r="R105" s="216"/>
      <c r="S105" s="216"/>
      <c r="T105" s="216"/>
      <c r="U105" s="216"/>
      <c r="V105" s="216"/>
      <c r="W105" s="216"/>
      <c r="X105" s="216"/>
      <c r="Y105" s="216"/>
      <c r="Z105" s="216"/>
      <c r="AA105" s="216"/>
      <c r="AB105" s="216"/>
      <c r="AC105" s="216"/>
      <c r="AD105" s="216"/>
      <c r="AE105" s="216"/>
      <c r="AF105" s="216"/>
    </row>
    <row r="106" spans="1:32">
      <c r="A106" s="216"/>
      <c r="B106" s="216"/>
      <c r="C106" s="216"/>
      <c r="D106" s="216"/>
      <c r="E106" s="216"/>
      <c r="F106" s="216"/>
      <c r="G106" s="216"/>
      <c r="H106" s="216"/>
      <c r="I106" s="216"/>
      <c r="J106" s="216"/>
      <c r="K106" s="293" t="s">
        <v>98</v>
      </c>
      <c r="L106" s="294" t="s">
        <v>397</v>
      </c>
      <c r="M106" s="294" t="s">
        <v>318</v>
      </c>
      <c r="N106" s="294">
        <v>0.61599999999999999</v>
      </c>
      <c r="O106" s="295">
        <v>80000</v>
      </c>
      <c r="P106" s="216"/>
      <c r="Q106" s="216"/>
      <c r="R106" s="216"/>
      <c r="S106" s="216"/>
      <c r="T106" s="216"/>
      <c r="U106" s="216"/>
      <c r="V106" s="216"/>
      <c r="W106" s="216"/>
      <c r="X106" s="216"/>
      <c r="Y106" s="216"/>
      <c r="Z106" s="216"/>
      <c r="AA106" s="216"/>
      <c r="AB106" s="216"/>
      <c r="AC106" s="216"/>
      <c r="AD106" s="216"/>
      <c r="AE106" s="216"/>
      <c r="AF106" s="216"/>
    </row>
    <row r="107" spans="1:32">
      <c r="A107" s="216"/>
      <c r="B107" s="216"/>
      <c r="C107" s="216"/>
      <c r="D107" s="216"/>
      <c r="E107" s="216"/>
      <c r="F107" s="216"/>
      <c r="G107" s="216"/>
      <c r="H107" s="216"/>
      <c r="I107" s="216"/>
      <c r="J107" s="216"/>
      <c r="K107" s="293" t="s">
        <v>98</v>
      </c>
      <c r="L107" s="294" t="s">
        <v>398</v>
      </c>
      <c r="M107" s="294" t="s">
        <v>322</v>
      </c>
      <c r="N107" s="294">
        <v>0</v>
      </c>
      <c r="O107" s="295">
        <v>159000</v>
      </c>
      <c r="P107" s="216"/>
      <c r="Q107" s="216"/>
      <c r="R107" s="216"/>
      <c r="S107" s="216"/>
      <c r="T107" s="216"/>
      <c r="U107" s="216"/>
      <c r="V107" s="216"/>
      <c r="W107" s="216"/>
      <c r="X107" s="216"/>
      <c r="Y107" s="216"/>
      <c r="Z107" s="216"/>
      <c r="AA107" s="216"/>
      <c r="AB107" s="216"/>
      <c r="AC107" s="216"/>
      <c r="AD107" s="216"/>
      <c r="AE107" s="216"/>
      <c r="AF107" s="216"/>
    </row>
    <row r="108" spans="1:32">
      <c r="A108" s="216"/>
      <c r="B108" s="216"/>
      <c r="C108" s="216"/>
      <c r="D108" s="216"/>
      <c r="E108" s="216"/>
      <c r="F108" s="216"/>
      <c r="G108" s="216"/>
      <c r="H108" s="216"/>
      <c r="I108" s="216"/>
      <c r="J108" s="216"/>
      <c r="K108" s="293" t="s">
        <v>98</v>
      </c>
      <c r="L108" s="294" t="s">
        <v>399</v>
      </c>
      <c r="M108" s="294" t="s">
        <v>322</v>
      </c>
      <c r="N108" s="294">
        <v>0</v>
      </c>
      <c r="O108" s="295">
        <v>39000</v>
      </c>
      <c r="P108" s="216"/>
      <c r="Q108" s="216"/>
      <c r="R108" s="216"/>
      <c r="S108" s="216"/>
      <c r="T108" s="216"/>
      <c r="U108" s="216"/>
      <c r="V108" s="216"/>
      <c r="W108" s="216"/>
      <c r="X108" s="216"/>
      <c r="Y108" s="216"/>
      <c r="Z108" s="216"/>
      <c r="AA108" s="216"/>
      <c r="AB108" s="216"/>
      <c r="AC108" s="216"/>
      <c r="AD108" s="216"/>
      <c r="AE108" s="216"/>
      <c r="AF108" s="216"/>
    </row>
    <row r="109" spans="1:32">
      <c r="A109" s="216"/>
      <c r="B109" s="216"/>
      <c r="C109" s="216"/>
      <c r="D109" s="216"/>
      <c r="E109" s="216"/>
      <c r="F109" s="216"/>
      <c r="G109" s="216"/>
      <c r="H109" s="216"/>
      <c r="I109" s="216"/>
      <c r="J109" s="216"/>
      <c r="K109" s="293" t="s">
        <v>98</v>
      </c>
      <c r="L109" s="294" t="s">
        <v>400</v>
      </c>
      <c r="M109" s="294" t="s">
        <v>318</v>
      </c>
      <c r="N109" s="294">
        <v>0.66</v>
      </c>
      <c r="O109" s="295">
        <v>90000</v>
      </c>
      <c r="P109" s="216"/>
      <c r="Q109" s="216"/>
      <c r="R109" s="216"/>
      <c r="S109" s="216"/>
      <c r="T109" s="216"/>
      <c r="U109" s="216"/>
      <c r="V109" s="216"/>
      <c r="W109" s="216"/>
      <c r="X109" s="216"/>
      <c r="Y109" s="216"/>
      <c r="Z109" s="216"/>
      <c r="AA109" s="216"/>
      <c r="AB109" s="216"/>
      <c r="AC109" s="216"/>
      <c r="AD109" s="216"/>
      <c r="AE109" s="216"/>
      <c r="AF109" s="216"/>
    </row>
    <row r="110" spans="1:32">
      <c r="A110" s="216"/>
      <c r="B110" s="216"/>
      <c r="C110" s="216"/>
      <c r="D110" s="216"/>
      <c r="E110" s="216"/>
      <c r="F110" s="216"/>
      <c r="G110" s="216"/>
      <c r="H110" s="216"/>
      <c r="I110" s="216"/>
      <c r="J110" s="216"/>
      <c r="K110" s="293" t="s">
        <v>98</v>
      </c>
      <c r="L110" s="294" t="s">
        <v>401</v>
      </c>
      <c r="M110" s="294" t="s">
        <v>322</v>
      </c>
      <c r="N110" s="294">
        <v>0</v>
      </c>
      <c r="O110" s="295">
        <v>132000</v>
      </c>
      <c r="P110" s="216"/>
      <c r="Q110" s="216"/>
      <c r="R110" s="216"/>
      <c r="S110" s="216"/>
      <c r="T110" s="216"/>
      <c r="U110" s="216"/>
      <c r="V110" s="216"/>
      <c r="W110" s="216"/>
      <c r="X110" s="216"/>
      <c r="Y110" s="216"/>
      <c r="Z110" s="216"/>
      <c r="AA110" s="216"/>
      <c r="AB110" s="216"/>
      <c r="AC110" s="216"/>
      <c r="AD110" s="216"/>
      <c r="AE110" s="216"/>
      <c r="AF110" s="216"/>
    </row>
    <row r="111" spans="1:32">
      <c r="A111" s="216"/>
      <c r="B111" s="216"/>
      <c r="C111" s="216"/>
      <c r="D111" s="216"/>
      <c r="E111" s="216"/>
      <c r="F111" s="216"/>
      <c r="G111" s="216"/>
      <c r="H111" s="216"/>
      <c r="I111" s="216"/>
      <c r="J111" s="216"/>
      <c r="K111" s="293" t="s">
        <v>98</v>
      </c>
      <c r="L111" s="294" t="s">
        <v>402</v>
      </c>
      <c r="M111" s="294" t="s">
        <v>403</v>
      </c>
      <c r="N111" s="294">
        <v>0.93899999999999995</v>
      </c>
      <c r="O111" s="295">
        <v>530000</v>
      </c>
      <c r="P111" s="216"/>
      <c r="Q111" s="216"/>
      <c r="R111" s="216"/>
      <c r="S111" s="216"/>
      <c r="T111" s="216"/>
      <c r="U111" s="216"/>
      <c r="V111" s="216"/>
      <c r="W111" s="216"/>
      <c r="X111" s="216"/>
      <c r="Y111" s="216"/>
      <c r="Z111" s="216"/>
      <c r="AA111" s="216"/>
      <c r="AB111" s="216"/>
      <c r="AC111" s="216"/>
      <c r="AD111" s="216"/>
      <c r="AE111" s="216"/>
      <c r="AF111" s="216"/>
    </row>
    <row r="112" spans="1:32">
      <c r="A112" s="216"/>
      <c r="B112" s="216"/>
      <c r="C112" s="216"/>
      <c r="D112" s="216"/>
      <c r="E112" s="216"/>
      <c r="F112" s="216"/>
      <c r="G112" s="216"/>
      <c r="H112" s="216"/>
      <c r="I112" s="216"/>
      <c r="J112" s="216"/>
      <c r="K112" s="293" t="s">
        <v>98</v>
      </c>
      <c r="L112" s="294" t="s">
        <v>404</v>
      </c>
      <c r="M112" s="294" t="s">
        <v>318</v>
      </c>
      <c r="N112" s="294">
        <v>0.44</v>
      </c>
      <c r="O112" s="295">
        <v>180000</v>
      </c>
      <c r="P112" s="216"/>
      <c r="Q112" s="216"/>
      <c r="R112" s="216"/>
      <c r="S112" s="216"/>
      <c r="T112" s="216"/>
      <c r="U112" s="216"/>
      <c r="V112" s="216"/>
      <c r="W112" s="216"/>
      <c r="X112" s="216"/>
      <c r="Y112" s="216"/>
      <c r="Z112" s="216"/>
      <c r="AA112" s="216"/>
      <c r="AB112" s="216"/>
      <c r="AC112" s="216"/>
      <c r="AD112" s="216"/>
      <c r="AE112" s="216"/>
      <c r="AF112" s="216"/>
    </row>
    <row r="113" spans="1:32">
      <c r="A113" s="216"/>
      <c r="B113" s="216"/>
      <c r="C113" s="216"/>
      <c r="D113" s="216"/>
      <c r="E113" s="216"/>
      <c r="F113" s="216"/>
      <c r="G113" s="216"/>
      <c r="H113" s="216"/>
      <c r="I113" s="216"/>
      <c r="J113" s="216"/>
      <c r="K113" s="293" t="s">
        <v>98</v>
      </c>
      <c r="L113" s="294" t="s">
        <v>405</v>
      </c>
      <c r="M113" s="294" t="s">
        <v>318</v>
      </c>
      <c r="N113" s="294">
        <v>0.38500000000000001</v>
      </c>
      <c r="O113" s="295">
        <v>485000</v>
      </c>
      <c r="P113" s="216"/>
      <c r="Q113" s="216"/>
      <c r="R113" s="216"/>
      <c r="S113" s="216"/>
      <c r="T113" s="216"/>
      <c r="U113" s="216"/>
      <c r="V113" s="216"/>
      <c r="W113" s="216"/>
      <c r="X113" s="216"/>
      <c r="Y113" s="216"/>
      <c r="Z113" s="216"/>
      <c r="AA113" s="216"/>
      <c r="AB113" s="216"/>
      <c r="AC113" s="216"/>
      <c r="AD113" s="216"/>
      <c r="AE113" s="216"/>
      <c r="AF113" s="216"/>
    </row>
    <row r="114" spans="1:32">
      <c r="A114" s="216"/>
      <c r="B114" s="216"/>
      <c r="C114" s="216"/>
      <c r="D114" s="216"/>
      <c r="E114" s="216"/>
      <c r="F114" s="216"/>
      <c r="G114" s="216"/>
      <c r="H114" s="216"/>
      <c r="I114" s="216"/>
      <c r="J114" s="216"/>
      <c r="K114" s="293" t="s">
        <v>98</v>
      </c>
      <c r="L114" s="294" t="s">
        <v>406</v>
      </c>
      <c r="M114" s="294" t="s">
        <v>403</v>
      </c>
      <c r="N114" s="294">
        <v>1.496</v>
      </c>
      <c r="O114" s="295">
        <v>231000</v>
      </c>
      <c r="P114" s="216"/>
      <c r="Q114" s="216"/>
      <c r="R114" s="216"/>
      <c r="S114" s="216"/>
      <c r="T114" s="216"/>
      <c r="U114" s="216"/>
      <c r="V114" s="216"/>
      <c r="W114" s="216"/>
      <c r="X114" s="216"/>
      <c r="Y114" s="216"/>
      <c r="Z114" s="216"/>
      <c r="AA114" s="216"/>
      <c r="AB114" s="216"/>
      <c r="AC114" s="216"/>
      <c r="AD114" s="216"/>
      <c r="AE114" s="216"/>
      <c r="AF114" s="216"/>
    </row>
    <row r="115" spans="1:32">
      <c r="A115" s="216"/>
      <c r="B115" s="216"/>
      <c r="C115" s="216"/>
      <c r="D115" s="216"/>
      <c r="E115" s="216"/>
      <c r="F115" s="216"/>
      <c r="G115" s="216"/>
      <c r="H115" s="216"/>
      <c r="I115" s="216"/>
      <c r="J115" s="216"/>
      <c r="K115" s="293" t="s">
        <v>98</v>
      </c>
      <c r="L115" s="294" t="s">
        <v>407</v>
      </c>
      <c r="M115" s="294" t="s">
        <v>328</v>
      </c>
      <c r="N115" s="294">
        <v>0.94</v>
      </c>
      <c r="O115" s="295">
        <v>74000</v>
      </c>
      <c r="P115" s="216"/>
      <c r="Q115" s="216"/>
      <c r="R115" s="216"/>
      <c r="S115" s="216"/>
      <c r="T115" s="216"/>
      <c r="U115" s="216"/>
      <c r="V115" s="216"/>
      <c r="W115" s="216"/>
      <c r="X115" s="216"/>
      <c r="Y115" s="216"/>
      <c r="Z115" s="216"/>
      <c r="AA115" s="216"/>
      <c r="AB115" s="216"/>
      <c r="AC115" s="216"/>
      <c r="AD115" s="216"/>
      <c r="AE115" s="216"/>
      <c r="AF115" s="216"/>
    </row>
    <row r="116" spans="1:32">
      <c r="A116" s="216"/>
      <c r="B116" s="216"/>
      <c r="C116" s="216"/>
      <c r="D116" s="216"/>
      <c r="E116" s="216"/>
      <c r="F116" s="216"/>
      <c r="G116" s="216"/>
      <c r="H116" s="216"/>
      <c r="I116" s="216"/>
      <c r="J116" s="216"/>
      <c r="K116" s="293" t="s">
        <v>98</v>
      </c>
      <c r="L116" s="294" t="s">
        <v>408</v>
      </c>
      <c r="M116" s="294" t="s">
        <v>318</v>
      </c>
      <c r="N116" s="294">
        <v>0.57699999999999996</v>
      </c>
      <c r="O116" s="295">
        <v>216000</v>
      </c>
      <c r="P116" s="216"/>
      <c r="Q116" s="216"/>
      <c r="R116" s="216"/>
      <c r="S116" s="216"/>
      <c r="T116" s="216"/>
      <c r="U116" s="216"/>
      <c r="V116" s="216"/>
      <c r="W116" s="216"/>
      <c r="X116" s="216"/>
      <c r="Y116" s="216"/>
      <c r="Z116" s="216"/>
      <c r="AA116" s="216"/>
      <c r="AB116" s="216"/>
      <c r="AC116" s="216"/>
      <c r="AD116" s="216"/>
      <c r="AE116" s="216"/>
      <c r="AF116" s="216"/>
    </row>
    <row r="117" spans="1:32">
      <c r="A117" s="216"/>
      <c r="B117" s="216"/>
      <c r="C117" s="216"/>
      <c r="D117" s="216"/>
      <c r="E117" s="216"/>
      <c r="F117" s="216"/>
      <c r="G117" s="216"/>
      <c r="H117" s="216"/>
      <c r="I117" s="216"/>
      <c r="J117" s="216"/>
      <c r="K117" s="293" t="s">
        <v>98</v>
      </c>
      <c r="L117" s="294" t="s">
        <v>409</v>
      </c>
      <c r="M117" s="294" t="s">
        <v>322</v>
      </c>
      <c r="N117" s="294">
        <v>0</v>
      </c>
      <c r="O117" s="295">
        <v>270000</v>
      </c>
      <c r="P117" s="216"/>
      <c r="Q117" s="216"/>
      <c r="R117" s="216"/>
      <c r="S117" s="216"/>
      <c r="T117" s="216"/>
      <c r="U117" s="216"/>
      <c r="V117" s="216"/>
      <c r="W117" s="216"/>
      <c r="X117" s="216"/>
      <c r="Y117" s="216"/>
      <c r="Z117" s="216"/>
      <c r="AA117" s="216"/>
      <c r="AB117" s="216"/>
      <c r="AC117" s="216"/>
      <c r="AD117" s="216"/>
      <c r="AE117" s="216"/>
      <c r="AF117" s="216"/>
    </row>
    <row r="118" spans="1:32">
      <c r="A118" s="216"/>
      <c r="B118" s="216"/>
      <c r="C118" s="216"/>
      <c r="D118" s="216"/>
      <c r="E118" s="216"/>
      <c r="F118" s="216"/>
      <c r="G118" s="216"/>
      <c r="H118" s="216"/>
      <c r="I118" s="216"/>
      <c r="J118" s="216"/>
      <c r="K118" s="293" t="s">
        <v>98</v>
      </c>
      <c r="L118" s="294" t="s">
        <v>410</v>
      </c>
      <c r="M118" s="294" t="s">
        <v>322</v>
      </c>
      <c r="N118" s="294">
        <v>0</v>
      </c>
      <c r="O118" s="295">
        <v>99000</v>
      </c>
      <c r="P118" s="216"/>
      <c r="Q118" s="216"/>
      <c r="R118" s="216"/>
      <c r="S118" s="216"/>
      <c r="T118" s="216"/>
      <c r="U118" s="216"/>
      <c r="V118" s="216"/>
      <c r="W118" s="216"/>
      <c r="X118" s="216"/>
      <c r="Y118" s="216"/>
      <c r="Z118" s="216"/>
      <c r="AA118" s="216"/>
      <c r="AB118" s="216"/>
      <c r="AC118" s="216"/>
      <c r="AD118" s="216"/>
      <c r="AE118" s="216"/>
      <c r="AF118" s="216"/>
    </row>
    <row r="119" spans="1:32">
      <c r="A119" s="216"/>
      <c r="B119" s="216"/>
      <c r="C119" s="216"/>
      <c r="D119" s="216"/>
      <c r="E119" s="216"/>
      <c r="F119" s="216"/>
      <c r="G119" s="216"/>
      <c r="H119" s="216"/>
      <c r="I119" s="216"/>
      <c r="J119" s="216"/>
      <c r="K119" s="293" t="s">
        <v>98</v>
      </c>
      <c r="L119" s="294" t="s">
        <v>411</v>
      </c>
      <c r="M119" s="294" t="s">
        <v>328</v>
      </c>
      <c r="N119" s="294">
        <v>0.94</v>
      </c>
      <c r="O119" s="295">
        <v>63000</v>
      </c>
      <c r="P119" s="216"/>
      <c r="Q119" s="216"/>
      <c r="R119" s="216"/>
      <c r="S119" s="216"/>
      <c r="T119" s="216"/>
      <c r="U119" s="216"/>
      <c r="V119" s="216"/>
      <c r="W119" s="216"/>
      <c r="X119" s="216"/>
      <c r="Y119" s="216"/>
      <c r="Z119" s="216"/>
      <c r="AA119" s="216"/>
      <c r="AB119" s="216"/>
      <c r="AC119" s="216"/>
      <c r="AD119" s="216"/>
      <c r="AE119" s="216"/>
      <c r="AF119" s="216"/>
    </row>
    <row r="120" spans="1:32">
      <c r="A120" s="216"/>
      <c r="B120" s="216"/>
      <c r="C120" s="216"/>
      <c r="D120" s="216"/>
      <c r="E120" s="216"/>
      <c r="F120" s="216"/>
      <c r="G120" s="216"/>
      <c r="H120" s="216"/>
      <c r="I120" s="216"/>
      <c r="J120" s="216"/>
      <c r="K120" s="293" t="s">
        <v>98</v>
      </c>
      <c r="L120" s="294" t="s">
        <v>412</v>
      </c>
      <c r="M120" s="294" t="s">
        <v>318</v>
      </c>
      <c r="N120" s="294">
        <v>0.66900000000000004</v>
      </c>
      <c r="O120" s="295">
        <v>480000</v>
      </c>
      <c r="P120" s="216"/>
      <c r="Q120" s="216"/>
      <c r="R120" s="216"/>
      <c r="S120" s="216"/>
      <c r="T120" s="216"/>
      <c r="U120" s="216"/>
      <c r="V120" s="216"/>
      <c r="W120" s="216"/>
      <c r="X120" s="216"/>
      <c r="Y120" s="216"/>
      <c r="Z120" s="216"/>
      <c r="AA120" s="216"/>
      <c r="AB120" s="216"/>
      <c r="AC120" s="216"/>
      <c r="AD120" s="216"/>
      <c r="AE120" s="216"/>
      <c r="AF120" s="216"/>
    </row>
    <row r="121" spans="1:32">
      <c r="A121" s="216"/>
      <c r="B121" s="216"/>
      <c r="C121" s="216"/>
      <c r="D121" s="216"/>
      <c r="E121" s="216"/>
      <c r="F121" s="216"/>
      <c r="G121" s="216"/>
      <c r="H121" s="216"/>
      <c r="I121" s="216"/>
      <c r="J121" s="216"/>
      <c r="K121" s="293" t="s">
        <v>98</v>
      </c>
      <c r="L121" s="294" t="s">
        <v>413</v>
      </c>
      <c r="M121" s="294" t="s">
        <v>318</v>
      </c>
      <c r="N121" s="294">
        <v>0.61599999999999999</v>
      </c>
      <c r="O121" s="295">
        <v>800000</v>
      </c>
      <c r="P121" s="216"/>
      <c r="Q121" s="216"/>
      <c r="R121" s="216"/>
      <c r="S121" s="216"/>
      <c r="T121" s="216"/>
      <c r="U121" s="216"/>
      <c r="V121" s="216"/>
      <c r="W121" s="216"/>
      <c r="X121" s="216"/>
      <c r="Y121" s="216"/>
      <c r="Z121" s="216"/>
      <c r="AA121" s="216"/>
      <c r="AB121" s="216"/>
      <c r="AC121" s="216"/>
      <c r="AD121" s="216"/>
      <c r="AE121" s="216"/>
      <c r="AF121" s="216"/>
    </row>
    <row r="122" spans="1:32">
      <c r="A122" s="216"/>
      <c r="B122" s="216"/>
      <c r="C122" s="216"/>
      <c r="D122" s="216"/>
      <c r="E122" s="216"/>
      <c r="F122" s="216"/>
      <c r="G122" s="216"/>
      <c r="H122" s="216"/>
      <c r="I122" s="216"/>
      <c r="J122" s="216"/>
      <c r="K122" s="293" t="s">
        <v>98</v>
      </c>
      <c r="L122" s="294" t="s">
        <v>414</v>
      </c>
      <c r="M122" s="294" t="s">
        <v>322</v>
      </c>
      <c r="N122" s="294">
        <v>0</v>
      </c>
      <c r="O122" s="295">
        <v>111000</v>
      </c>
      <c r="P122" s="216"/>
      <c r="Q122" s="216"/>
      <c r="R122" s="216"/>
      <c r="S122" s="216"/>
      <c r="T122" s="216"/>
      <c r="U122" s="216"/>
      <c r="V122" s="216"/>
      <c r="W122" s="216"/>
      <c r="X122" s="216"/>
      <c r="Y122" s="216"/>
      <c r="Z122" s="216"/>
      <c r="AA122" s="216"/>
      <c r="AB122" s="216"/>
      <c r="AC122" s="216"/>
      <c r="AD122" s="216"/>
      <c r="AE122" s="216"/>
      <c r="AF122" s="216"/>
    </row>
    <row r="123" spans="1:32">
      <c r="A123" s="216"/>
      <c r="B123" s="216"/>
      <c r="C123" s="216"/>
      <c r="D123" s="216"/>
      <c r="E123" s="216"/>
      <c r="F123" s="216"/>
      <c r="G123" s="216"/>
      <c r="H123" s="216"/>
      <c r="I123" s="216"/>
      <c r="J123" s="216"/>
      <c r="K123" s="293" t="s">
        <v>219</v>
      </c>
      <c r="L123" s="294" t="s">
        <v>415</v>
      </c>
      <c r="M123" s="294" t="s">
        <v>316</v>
      </c>
      <c r="N123" s="294">
        <v>0</v>
      </c>
      <c r="O123" s="295">
        <v>80000</v>
      </c>
      <c r="P123" s="216"/>
      <c r="Q123" s="216"/>
      <c r="R123" s="216"/>
      <c r="S123" s="216"/>
      <c r="T123" s="216"/>
      <c r="U123" s="216"/>
      <c r="V123" s="216"/>
      <c r="W123" s="216"/>
      <c r="X123" s="216"/>
      <c r="Y123" s="216"/>
      <c r="Z123" s="216"/>
      <c r="AA123" s="216"/>
      <c r="AB123" s="216"/>
      <c r="AC123" s="216"/>
      <c r="AD123" s="216"/>
      <c r="AE123" s="216"/>
      <c r="AF123" s="216"/>
    </row>
    <row r="124" spans="1:32">
      <c r="A124" s="216"/>
      <c r="B124" s="216"/>
      <c r="C124" s="216"/>
      <c r="D124" s="216"/>
      <c r="E124" s="216"/>
      <c r="F124" s="216"/>
      <c r="G124" s="216"/>
      <c r="H124" s="216"/>
      <c r="I124" s="216"/>
      <c r="J124" s="216"/>
      <c r="K124" s="293" t="s">
        <v>219</v>
      </c>
      <c r="L124" s="294" t="s">
        <v>416</v>
      </c>
      <c r="M124" s="294" t="s">
        <v>318</v>
      </c>
      <c r="N124" s="294">
        <v>0.63700000000000001</v>
      </c>
      <c r="O124" s="295">
        <v>240000</v>
      </c>
      <c r="P124" s="216"/>
      <c r="Q124" s="216"/>
      <c r="R124" s="216"/>
      <c r="S124" s="216"/>
      <c r="T124" s="216"/>
      <c r="U124" s="216"/>
      <c r="V124" s="216"/>
      <c r="W124" s="216"/>
      <c r="X124" s="216"/>
      <c r="Y124" s="216"/>
      <c r="Z124" s="216"/>
      <c r="AA124" s="216"/>
      <c r="AB124" s="216"/>
      <c r="AC124" s="216"/>
      <c r="AD124" s="216"/>
      <c r="AE124" s="216"/>
      <c r="AF124" s="216"/>
    </row>
    <row r="125" spans="1:32">
      <c r="A125" s="216"/>
      <c r="B125" s="216"/>
      <c r="C125" s="216"/>
      <c r="D125" s="216"/>
      <c r="E125" s="216"/>
      <c r="F125" s="216"/>
      <c r="G125" s="216"/>
      <c r="H125" s="216"/>
      <c r="I125" s="216"/>
      <c r="J125" s="216"/>
      <c r="K125" s="293" t="s">
        <v>219</v>
      </c>
      <c r="L125" s="294" t="s">
        <v>417</v>
      </c>
      <c r="M125" s="294" t="s">
        <v>318</v>
      </c>
      <c r="N125" s="294">
        <v>0.63700000000000001</v>
      </c>
      <c r="O125" s="295">
        <v>120000</v>
      </c>
      <c r="P125" s="216"/>
      <c r="Q125" s="216"/>
      <c r="R125" s="216"/>
      <c r="S125" s="216"/>
      <c r="T125" s="216"/>
      <c r="U125" s="216"/>
      <c r="V125" s="216"/>
      <c r="W125" s="216"/>
      <c r="X125" s="216"/>
      <c r="Y125" s="216"/>
      <c r="Z125" s="216"/>
      <c r="AA125" s="216"/>
      <c r="AB125" s="216"/>
      <c r="AC125" s="216"/>
      <c r="AD125" s="216"/>
      <c r="AE125" s="216"/>
      <c r="AF125" s="216"/>
    </row>
    <row r="126" spans="1:32">
      <c r="A126" s="216"/>
      <c r="B126" s="216"/>
      <c r="C126" s="216"/>
      <c r="D126" s="216"/>
      <c r="E126" s="216"/>
      <c r="F126" s="216"/>
      <c r="G126" s="216"/>
      <c r="H126" s="216"/>
      <c r="I126" s="216"/>
      <c r="J126" s="216"/>
      <c r="K126" s="293" t="s">
        <v>219</v>
      </c>
      <c r="L126" s="294" t="s">
        <v>418</v>
      </c>
      <c r="M126" s="294" t="s">
        <v>316</v>
      </c>
      <c r="N126" s="294">
        <v>0</v>
      </c>
      <c r="O126" s="295">
        <v>85000</v>
      </c>
      <c r="P126" s="216"/>
      <c r="Q126" s="216"/>
      <c r="R126" s="216"/>
      <c r="S126" s="216"/>
      <c r="T126" s="216"/>
      <c r="U126" s="216"/>
      <c r="V126" s="216"/>
      <c r="W126" s="216"/>
      <c r="X126" s="216"/>
      <c r="Y126" s="216"/>
      <c r="Z126" s="216"/>
      <c r="AA126" s="216"/>
      <c r="AB126" s="216"/>
      <c r="AC126" s="216"/>
      <c r="AD126" s="216"/>
      <c r="AE126" s="216"/>
      <c r="AF126" s="216"/>
    </row>
    <row r="127" spans="1:32">
      <c r="A127" s="216"/>
      <c r="B127" s="216"/>
      <c r="C127" s="216"/>
      <c r="D127" s="216"/>
      <c r="E127" s="216"/>
      <c r="F127" s="216"/>
      <c r="G127" s="216"/>
      <c r="H127" s="216"/>
      <c r="I127" s="216"/>
      <c r="J127" s="216"/>
      <c r="K127" s="293" t="s">
        <v>219</v>
      </c>
      <c r="L127" s="294" t="s">
        <v>419</v>
      </c>
      <c r="M127" s="294" t="s">
        <v>316</v>
      </c>
      <c r="N127" s="294">
        <v>0</v>
      </c>
      <c r="O127" s="295">
        <v>60000</v>
      </c>
      <c r="P127" s="216"/>
      <c r="Q127" s="216"/>
      <c r="R127" s="216"/>
      <c r="S127" s="216"/>
      <c r="T127" s="216"/>
      <c r="U127" s="216"/>
      <c r="V127" s="216"/>
      <c r="W127" s="216"/>
      <c r="X127" s="216"/>
      <c r="Y127" s="216"/>
      <c r="Z127" s="216"/>
      <c r="AA127" s="216"/>
      <c r="AB127" s="216"/>
      <c r="AC127" s="216"/>
      <c r="AD127" s="216"/>
      <c r="AE127" s="216"/>
      <c r="AF127" s="216"/>
    </row>
    <row r="128" spans="1:32">
      <c r="A128" s="216"/>
      <c r="B128" s="216"/>
      <c r="C128" s="216"/>
      <c r="D128" s="216"/>
      <c r="E128" s="216"/>
      <c r="F128" s="216"/>
      <c r="G128" s="216"/>
      <c r="H128" s="216"/>
      <c r="I128" s="216"/>
      <c r="J128" s="216"/>
      <c r="K128" s="293" t="s">
        <v>219</v>
      </c>
      <c r="L128" s="294" t="s">
        <v>420</v>
      </c>
      <c r="M128" s="294" t="s">
        <v>316</v>
      </c>
      <c r="N128" s="294">
        <v>0</v>
      </c>
      <c r="O128" s="295">
        <v>43000</v>
      </c>
      <c r="P128" s="216"/>
      <c r="Q128" s="216"/>
      <c r="R128" s="216"/>
      <c r="S128" s="216"/>
      <c r="T128" s="216"/>
      <c r="U128" s="216"/>
      <c r="V128" s="216"/>
      <c r="W128" s="216"/>
      <c r="X128" s="216"/>
      <c r="Y128" s="216"/>
      <c r="Z128" s="216"/>
      <c r="AA128" s="216"/>
      <c r="AB128" s="216"/>
      <c r="AC128" s="216"/>
      <c r="AD128" s="216"/>
      <c r="AE128" s="216"/>
      <c r="AF128" s="216"/>
    </row>
    <row r="129" spans="1:32">
      <c r="A129" s="216"/>
      <c r="B129" s="216"/>
      <c r="C129" s="216"/>
      <c r="D129" s="216"/>
      <c r="E129" s="216"/>
      <c r="F129" s="216"/>
      <c r="G129" s="216"/>
      <c r="H129" s="216"/>
      <c r="I129" s="216"/>
      <c r="J129" s="216"/>
      <c r="K129" s="293" t="s">
        <v>219</v>
      </c>
      <c r="L129" s="294" t="s">
        <v>421</v>
      </c>
      <c r="M129" s="294" t="s">
        <v>316</v>
      </c>
      <c r="N129" s="294">
        <v>0</v>
      </c>
      <c r="O129" s="295">
        <v>432000</v>
      </c>
      <c r="P129" s="216"/>
      <c r="Q129" s="216"/>
      <c r="R129" s="216"/>
      <c r="S129" s="216"/>
      <c r="T129" s="216"/>
      <c r="U129" s="216"/>
      <c r="V129" s="216"/>
      <c r="W129" s="216"/>
      <c r="X129" s="216"/>
      <c r="Y129" s="216"/>
      <c r="Z129" s="216"/>
      <c r="AA129" s="216"/>
      <c r="AB129" s="216"/>
      <c r="AC129" s="216"/>
      <c r="AD129" s="216"/>
      <c r="AE129" s="216"/>
      <c r="AF129" s="216"/>
    </row>
    <row r="130" spans="1:32">
      <c r="A130" s="216"/>
      <c r="B130" s="216"/>
      <c r="C130" s="216"/>
      <c r="D130" s="216"/>
      <c r="E130" s="216"/>
      <c r="F130" s="216"/>
      <c r="G130" s="216"/>
      <c r="H130" s="216"/>
      <c r="I130" s="216"/>
      <c r="J130" s="216"/>
      <c r="K130" s="293" t="s">
        <v>219</v>
      </c>
      <c r="L130" s="294" t="s">
        <v>422</v>
      </c>
      <c r="M130" s="294" t="s">
        <v>316</v>
      </c>
      <c r="N130" s="294">
        <v>0</v>
      </c>
      <c r="O130" s="295">
        <v>144000</v>
      </c>
      <c r="P130" s="216"/>
      <c r="Q130" s="216"/>
      <c r="R130" s="216"/>
      <c r="S130" s="216"/>
      <c r="T130" s="216"/>
      <c r="U130" s="216"/>
      <c r="V130" s="216"/>
      <c r="W130" s="216"/>
      <c r="X130" s="216"/>
      <c r="Y130" s="216"/>
      <c r="Z130" s="216"/>
      <c r="AA130" s="216"/>
      <c r="AB130" s="216"/>
      <c r="AC130" s="216"/>
      <c r="AD130" s="216"/>
      <c r="AE130" s="216"/>
      <c r="AF130" s="216"/>
    </row>
    <row r="131" spans="1:32">
      <c r="A131" s="216"/>
      <c r="B131" s="216"/>
      <c r="C131" s="216"/>
      <c r="D131" s="216"/>
      <c r="E131" s="216"/>
      <c r="F131" s="216"/>
      <c r="G131" s="216"/>
      <c r="H131" s="216"/>
      <c r="I131" s="216"/>
      <c r="J131" s="216"/>
      <c r="K131" s="293" t="s">
        <v>219</v>
      </c>
      <c r="L131" s="294" t="s">
        <v>423</v>
      </c>
      <c r="M131" s="294" t="s">
        <v>316</v>
      </c>
      <c r="N131" s="294">
        <v>0</v>
      </c>
      <c r="O131" s="295">
        <v>32000</v>
      </c>
      <c r="P131" s="216"/>
      <c r="Q131" s="216"/>
      <c r="R131" s="216"/>
      <c r="S131" s="216"/>
      <c r="T131" s="216"/>
      <c r="U131" s="216"/>
      <c r="V131" s="216"/>
      <c r="W131" s="216"/>
      <c r="X131" s="216"/>
      <c r="Y131" s="216"/>
      <c r="Z131" s="216"/>
      <c r="AA131" s="216"/>
      <c r="AB131" s="216"/>
      <c r="AC131" s="216"/>
      <c r="AD131" s="216"/>
      <c r="AE131" s="216"/>
      <c r="AF131" s="216"/>
    </row>
    <row r="132" spans="1:32">
      <c r="A132" s="216"/>
      <c r="B132" s="216"/>
      <c r="C132" s="216"/>
      <c r="D132" s="216"/>
      <c r="E132" s="216"/>
      <c r="F132" s="216"/>
      <c r="G132" s="216"/>
      <c r="H132" s="216"/>
      <c r="I132" s="216"/>
      <c r="J132" s="216"/>
      <c r="K132" s="293" t="s">
        <v>219</v>
      </c>
      <c r="L132" s="294" t="s">
        <v>424</v>
      </c>
      <c r="M132" s="294" t="s">
        <v>316</v>
      </c>
      <c r="N132" s="294">
        <v>0</v>
      </c>
      <c r="O132" s="295">
        <v>82000</v>
      </c>
      <c r="P132" s="216"/>
      <c r="Q132" s="216"/>
      <c r="R132" s="216"/>
      <c r="S132" s="216"/>
      <c r="T132" s="216"/>
      <c r="U132" s="216"/>
      <c r="V132" s="216"/>
      <c r="W132" s="216"/>
      <c r="X132" s="216"/>
      <c r="Y132" s="216"/>
      <c r="Z132" s="216"/>
      <c r="AA132" s="216"/>
      <c r="AB132" s="216"/>
      <c r="AC132" s="216"/>
      <c r="AD132" s="216"/>
      <c r="AE132" s="216"/>
      <c r="AF132" s="216"/>
    </row>
    <row r="133" spans="1:32">
      <c r="A133" s="216"/>
      <c r="B133" s="216"/>
      <c r="C133" s="216"/>
      <c r="D133" s="216"/>
      <c r="E133" s="216"/>
      <c r="F133" s="216"/>
      <c r="G133" s="216"/>
      <c r="H133" s="216"/>
      <c r="I133" s="216"/>
      <c r="J133" s="216"/>
      <c r="K133" s="293" t="s">
        <v>219</v>
      </c>
      <c r="L133" s="294" t="s">
        <v>425</v>
      </c>
      <c r="M133" s="294" t="s">
        <v>316</v>
      </c>
      <c r="N133" s="294">
        <v>0</v>
      </c>
      <c r="O133" s="295">
        <v>170000</v>
      </c>
      <c r="P133" s="216"/>
      <c r="Q133" s="216"/>
      <c r="R133" s="216"/>
      <c r="S133" s="216"/>
      <c r="T133" s="216"/>
      <c r="U133" s="216"/>
      <c r="V133" s="216"/>
      <c r="W133" s="216"/>
      <c r="X133" s="216"/>
      <c r="Y133" s="216"/>
      <c r="Z133" s="216"/>
      <c r="AA133" s="216"/>
      <c r="AB133" s="216"/>
      <c r="AC133" s="216"/>
      <c r="AD133" s="216"/>
      <c r="AE133" s="216"/>
      <c r="AF133" s="216"/>
    </row>
    <row r="134" spans="1:32">
      <c r="A134" s="216"/>
      <c r="B134" s="216"/>
      <c r="C134" s="216"/>
      <c r="D134" s="216"/>
      <c r="E134" s="216"/>
      <c r="F134" s="216"/>
      <c r="G134" s="216"/>
      <c r="H134" s="216"/>
      <c r="I134" s="216"/>
      <c r="J134" s="216"/>
      <c r="K134" s="293" t="s">
        <v>219</v>
      </c>
      <c r="L134" s="294" t="s">
        <v>426</v>
      </c>
      <c r="M134" s="294" t="s">
        <v>316</v>
      </c>
      <c r="N134" s="294">
        <v>0</v>
      </c>
      <c r="O134" s="295">
        <v>80000</v>
      </c>
      <c r="P134" s="216"/>
      <c r="Q134" s="216"/>
      <c r="R134" s="216"/>
      <c r="S134" s="216"/>
      <c r="T134" s="216"/>
      <c r="U134" s="216"/>
      <c r="V134" s="216"/>
      <c r="W134" s="216"/>
      <c r="X134" s="216"/>
      <c r="Y134" s="216"/>
      <c r="Z134" s="216"/>
      <c r="AA134" s="216"/>
      <c r="AB134" s="216"/>
      <c r="AC134" s="216"/>
      <c r="AD134" s="216"/>
      <c r="AE134" s="216"/>
      <c r="AF134" s="216"/>
    </row>
    <row r="135" spans="1:32">
      <c r="A135" s="216"/>
      <c r="B135" s="216"/>
      <c r="C135" s="216"/>
      <c r="D135" s="216"/>
      <c r="E135" s="216"/>
      <c r="F135" s="216"/>
      <c r="G135" s="216"/>
      <c r="H135" s="216"/>
      <c r="I135" s="216"/>
      <c r="J135" s="216"/>
      <c r="K135" s="293" t="s">
        <v>219</v>
      </c>
      <c r="L135" s="294" t="s">
        <v>427</v>
      </c>
      <c r="M135" s="294" t="s">
        <v>316</v>
      </c>
      <c r="N135" s="294">
        <v>0</v>
      </c>
      <c r="O135" s="295">
        <v>40000</v>
      </c>
      <c r="P135" s="216"/>
      <c r="Q135" s="216"/>
      <c r="R135" s="216"/>
      <c r="S135" s="216"/>
      <c r="T135" s="216"/>
      <c r="U135" s="216"/>
      <c r="V135" s="216"/>
      <c r="W135" s="216"/>
      <c r="X135" s="216"/>
      <c r="Y135" s="216"/>
      <c r="Z135" s="216"/>
      <c r="AA135" s="216"/>
      <c r="AB135" s="216"/>
      <c r="AC135" s="216"/>
      <c r="AD135" s="216"/>
      <c r="AE135" s="216"/>
      <c r="AF135" s="216"/>
    </row>
    <row r="136" spans="1:32">
      <c r="A136" s="216"/>
      <c r="B136" s="216"/>
      <c r="C136" s="216"/>
      <c r="D136" s="216"/>
      <c r="E136" s="216"/>
      <c r="F136" s="216"/>
      <c r="G136" s="216"/>
      <c r="H136" s="216"/>
      <c r="I136" s="216"/>
      <c r="J136" s="216"/>
      <c r="K136" s="293" t="s">
        <v>219</v>
      </c>
      <c r="L136" s="294" t="s">
        <v>428</v>
      </c>
      <c r="M136" s="294" t="s">
        <v>322</v>
      </c>
      <c r="N136" s="294">
        <v>0</v>
      </c>
      <c r="O136" s="295">
        <v>168000</v>
      </c>
      <c r="P136" s="216"/>
      <c r="Q136" s="216"/>
      <c r="R136" s="216"/>
      <c r="S136" s="216"/>
      <c r="T136" s="216"/>
      <c r="U136" s="216"/>
      <c r="V136" s="216"/>
      <c r="W136" s="216"/>
      <c r="X136" s="216"/>
      <c r="Y136" s="216"/>
      <c r="Z136" s="216"/>
      <c r="AA136" s="216"/>
      <c r="AB136" s="216"/>
      <c r="AC136" s="216"/>
      <c r="AD136" s="216"/>
      <c r="AE136" s="216"/>
      <c r="AF136" s="216"/>
    </row>
    <row r="137" spans="1:32">
      <c r="A137" s="216"/>
      <c r="B137" s="216"/>
      <c r="C137" s="216"/>
      <c r="D137" s="216"/>
      <c r="E137" s="216"/>
      <c r="F137" s="216"/>
      <c r="G137" s="216"/>
      <c r="H137" s="216"/>
      <c r="I137" s="216"/>
      <c r="J137" s="216"/>
      <c r="K137" s="293" t="s">
        <v>219</v>
      </c>
      <c r="L137" s="294" t="s">
        <v>429</v>
      </c>
      <c r="M137" s="294" t="s">
        <v>316</v>
      </c>
      <c r="N137" s="294">
        <v>0</v>
      </c>
      <c r="O137" s="295">
        <v>300000</v>
      </c>
      <c r="P137" s="216"/>
      <c r="Q137" s="216"/>
      <c r="R137" s="216"/>
      <c r="S137" s="216"/>
      <c r="T137" s="216"/>
      <c r="U137" s="216"/>
      <c r="V137" s="216"/>
      <c r="W137" s="216"/>
      <c r="X137" s="216"/>
      <c r="Y137" s="216"/>
      <c r="Z137" s="216"/>
      <c r="AA137" s="216"/>
      <c r="AB137" s="216"/>
      <c r="AC137" s="216"/>
      <c r="AD137" s="216"/>
      <c r="AE137" s="216"/>
      <c r="AF137" s="216"/>
    </row>
    <row r="138" spans="1:32">
      <c r="A138" s="216"/>
      <c r="B138" s="216"/>
      <c r="C138" s="216"/>
      <c r="D138" s="216"/>
      <c r="E138" s="216"/>
      <c r="F138" s="216"/>
      <c r="G138" s="216"/>
      <c r="H138" s="216"/>
      <c r="I138" s="216"/>
      <c r="J138" s="216"/>
      <c r="K138" s="293" t="s">
        <v>219</v>
      </c>
      <c r="L138" s="294" t="s">
        <v>430</v>
      </c>
      <c r="M138" s="294" t="s">
        <v>316</v>
      </c>
      <c r="N138" s="294">
        <v>0</v>
      </c>
      <c r="O138" s="295">
        <v>231000</v>
      </c>
      <c r="P138" s="216"/>
      <c r="Q138" s="216"/>
      <c r="R138" s="216"/>
      <c r="S138" s="216"/>
      <c r="T138" s="216"/>
      <c r="U138" s="216"/>
      <c r="V138" s="216"/>
      <c r="W138" s="216"/>
      <c r="X138" s="216"/>
      <c r="Y138" s="216"/>
      <c r="Z138" s="216"/>
      <c r="AA138" s="216"/>
      <c r="AB138" s="216"/>
      <c r="AC138" s="216"/>
      <c r="AD138" s="216"/>
      <c r="AE138" s="216"/>
      <c r="AF138" s="216"/>
    </row>
    <row r="139" spans="1:32">
      <c r="A139" s="216"/>
      <c r="B139" s="216"/>
      <c r="C139" s="216"/>
      <c r="D139" s="216"/>
      <c r="E139" s="216"/>
      <c r="F139" s="216"/>
      <c r="G139" s="216"/>
      <c r="H139" s="216"/>
      <c r="I139" s="216"/>
      <c r="J139" s="216"/>
      <c r="K139" s="293" t="s">
        <v>219</v>
      </c>
      <c r="L139" s="294" t="s">
        <v>431</v>
      </c>
      <c r="M139" s="294" t="s">
        <v>318</v>
      </c>
      <c r="N139" s="294">
        <v>0.38500000000000001</v>
      </c>
      <c r="O139" s="295">
        <v>200000</v>
      </c>
      <c r="P139" s="216"/>
      <c r="Q139" s="216"/>
      <c r="R139" s="216"/>
      <c r="S139" s="216"/>
      <c r="T139" s="216"/>
      <c r="U139" s="216"/>
      <c r="V139" s="216"/>
      <c r="W139" s="216"/>
      <c r="X139" s="216"/>
      <c r="Y139" s="216"/>
      <c r="Z139" s="216"/>
      <c r="AA139" s="216"/>
      <c r="AB139" s="216"/>
      <c r="AC139" s="216"/>
      <c r="AD139" s="216"/>
      <c r="AE139" s="216"/>
      <c r="AF139" s="216"/>
    </row>
    <row r="140" spans="1:32">
      <c r="A140" s="216"/>
      <c r="B140" s="216"/>
      <c r="C140" s="216"/>
      <c r="D140" s="216"/>
      <c r="E140" s="216"/>
      <c r="F140" s="216"/>
      <c r="G140" s="216"/>
      <c r="H140" s="216"/>
      <c r="I140" s="216"/>
      <c r="J140" s="216"/>
      <c r="K140" s="293" t="s">
        <v>219</v>
      </c>
      <c r="L140" s="294" t="s">
        <v>432</v>
      </c>
      <c r="M140" s="294" t="s">
        <v>318</v>
      </c>
      <c r="N140" s="294">
        <v>0.66</v>
      </c>
      <c r="O140" s="295">
        <v>58000</v>
      </c>
      <c r="P140" s="216"/>
      <c r="Q140" s="216"/>
      <c r="R140" s="216"/>
      <c r="S140" s="216"/>
      <c r="T140" s="216"/>
      <c r="U140" s="216"/>
      <c r="V140" s="216"/>
      <c r="W140" s="216"/>
      <c r="X140" s="216"/>
      <c r="Y140" s="216"/>
      <c r="Z140" s="216"/>
      <c r="AA140" s="216"/>
      <c r="AB140" s="216"/>
      <c r="AC140" s="216"/>
      <c r="AD140" s="216"/>
      <c r="AE140" s="216"/>
      <c r="AF140" s="216"/>
    </row>
    <row r="141" spans="1:32">
      <c r="A141" s="216"/>
      <c r="B141" s="216"/>
      <c r="C141" s="216"/>
      <c r="D141" s="216"/>
      <c r="E141" s="216"/>
      <c r="F141" s="216"/>
      <c r="G141" s="216"/>
      <c r="H141" s="216"/>
      <c r="I141" s="216"/>
      <c r="J141" s="216"/>
      <c r="K141" s="293" t="s">
        <v>219</v>
      </c>
      <c r="L141" s="294" t="s">
        <v>433</v>
      </c>
      <c r="M141" s="294" t="s">
        <v>316</v>
      </c>
      <c r="N141" s="294">
        <v>0</v>
      </c>
      <c r="O141" s="295">
        <v>90000</v>
      </c>
      <c r="P141" s="216"/>
      <c r="Q141" s="216"/>
      <c r="R141" s="216"/>
      <c r="S141" s="216"/>
      <c r="T141" s="216"/>
      <c r="U141" s="216"/>
      <c r="V141" s="216"/>
      <c r="W141" s="216"/>
      <c r="X141" s="216"/>
      <c r="Y141" s="216"/>
      <c r="Z141" s="216"/>
      <c r="AA141" s="216"/>
      <c r="AB141" s="216"/>
      <c r="AC141" s="216"/>
      <c r="AD141" s="216"/>
      <c r="AE141" s="216"/>
      <c r="AF141" s="216"/>
    </row>
    <row r="142" spans="1:32">
      <c r="A142" s="216"/>
      <c r="B142" s="216"/>
      <c r="C142" s="216"/>
      <c r="D142" s="216"/>
      <c r="E142" s="216"/>
      <c r="F142" s="216"/>
      <c r="G142" s="216"/>
      <c r="H142" s="216"/>
      <c r="I142" s="216"/>
      <c r="J142" s="216"/>
      <c r="K142" s="293" t="s">
        <v>219</v>
      </c>
      <c r="L142" s="294" t="s">
        <v>434</v>
      </c>
      <c r="M142" s="294" t="s">
        <v>316</v>
      </c>
      <c r="N142" s="294">
        <v>0</v>
      </c>
      <c r="O142" s="295">
        <v>80000</v>
      </c>
      <c r="P142" s="216"/>
      <c r="Q142" s="216"/>
      <c r="R142" s="216"/>
      <c r="S142" s="216"/>
      <c r="T142" s="216"/>
      <c r="U142" s="216"/>
      <c r="V142" s="216"/>
      <c r="W142" s="216"/>
      <c r="X142" s="216"/>
      <c r="Y142" s="216"/>
      <c r="Z142" s="216"/>
      <c r="AA142" s="216"/>
      <c r="AB142" s="216"/>
      <c r="AC142" s="216"/>
      <c r="AD142" s="216"/>
      <c r="AE142" s="216"/>
      <c r="AF142" s="216"/>
    </row>
    <row r="143" spans="1:32">
      <c r="A143" s="216"/>
      <c r="B143" s="216"/>
      <c r="C143" s="216"/>
      <c r="D143" s="216"/>
      <c r="E143" s="216"/>
      <c r="F143" s="216"/>
      <c r="G143" s="216"/>
      <c r="H143" s="216"/>
      <c r="I143" s="216"/>
      <c r="J143" s="216"/>
      <c r="K143" s="293" t="s">
        <v>219</v>
      </c>
      <c r="L143" s="294" t="s">
        <v>435</v>
      </c>
      <c r="M143" s="294" t="s">
        <v>316</v>
      </c>
      <c r="N143" s="294">
        <v>0</v>
      </c>
      <c r="O143" s="295">
        <v>83000</v>
      </c>
      <c r="P143" s="216"/>
      <c r="Q143" s="216"/>
      <c r="R143" s="216"/>
      <c r="S143" s="216"/>
      <c r="T143" s="216"/>
      <c r="U143" s="216"/>
      <c r="V143" s="216"/>
      <c r="W143" s="216"/>
      <c r="X143" s="216"/>
      <c r="Y143" s="216"/>
      <c r="Z143" s="216"/>
      <c r="AA143" s="216"/>
      <c r="AB143" s="216"/>
      <c r="AC143" s="216"/>
      <c r="AD143" s="216"/>
      <c r="AE143" s="216"/>
      <c r="AF143" s="216"/>
    </row>
    <row r="144" spans="1:32">
      <c r="A144" s="216"/>
      <c r="B144" s="216"/>
      <c r="C144" s="216"/>
      <c r="D144" s="216"/>
      <c r="E144" s="216"/>
      <c r="F144" s="216"/>
      <c r="G144" s="216"/>
      <c r="H144" s="216"/>
      <c r="I144" s="216"/>
      <c r="J144" s="216"/>
      <c r="K144" s="293" t="s">
        <v>219</v>
      </c>
      <c r="L144" s="294" t="s">
        <v>436</v>
      </c>
      <c r="M144" s="294" t="s">
        <v>316</v>
      </c>
      <c r="N144" s="294">
        <v>0</v>
      </c>
      <c r="O144" s="295">
        <v>125000</v>
      </c>
      <c r="P144" s="216"/>
      <c r="Q144" s="216"/>
      <c r="R144" s="216"/>
      <c r="S144" s="216"/>
      <c r="T144" s="216"/>
      <c r="U144" s="216"/>
      <c r="V144" s="216"/>
      <c r="W144" s="216"/>
      <c r="X144" s="216"/>
      <c r="Y144" s="216"/>
      <c r="Z144" s="216"/>
      <c r="AA144" s="216"/>
      <c r="AB144" s="216"/>
      <c r="AC144" s="216"/>
      <c r="AD144" s="216"/>
      <c r="AE144" s="216"/>
      <c r="AF144" s="216"/>
    </row>
    <row r="145" spans="1:32">
      <c r="A145" s="216"/>
      <c r="B145" s="216"/>
      <c r="C145" s="216"/>
      <c r="D145" s="216"/>
      <c r="E145" s="216"/>
      <c r="F145" s="216"/>
      <c r="G145" s="216"/>
      <c r="H145" s="216"/>
      <c r="I145" s="216"/>
      <c r="J145" s="216"/>
      <c r="K145" s="293" t="s">
        <v>221</v>
      </c>
      <c r="L145" s="294" t="s">
        <v>437</v>
      </c>
      <c r="M145" s="294" t="s">
        <v>403</v>
      </c>
      <c r="N145" s="294">
        <v>1.204</v>
      </c>
      <c r="O145" s="295">
        <v>160000</v>
      </c>
      <c r="P145" s="216"/>
      <c r="Q145" s="216"/>
      <c r="R145" s="216"/>
      <c r="S145" s="216"/>
      <c r="T145" s="216"/>
      <c r="U145" s="216"/>
      <c r="V145" s="216"/>
      <c r="W145" s="216"/>
      <c r="X145" s="216"/>
      <c r="Y145" s="216"/>
      <c r="Z145" s="216"/>
      <c r="AA145" s="216"/>
      <c r="AB145" s="216"/>
      <c r="AC145" s="216"/>
      <c r="AD145" s="216"/>
      <c r="AE145" s="216"/>
      <c r="AF145" s="216"/>
    </row>
    <row r="146" spans="1:32">
      <c r="A146" s="216"/>
      <c r="B146" s="216"/>
      <c r="C146" s="216"/>
      <c r="D146" s="216"/>
      <c r="E146" s="216"/>
      <c r="F146" s="216"/>
      <c r="G146" s="216"/>
      <c r="H146" s="216"/>
      <c r="I146" s="216"/>
      <c r="J146" s="216"/>
      <c r="K146" s="293" t="s">
        <v>221</v>
      </c>
      <c r="L146" s="294" t="s">
        <v>438</v>
      </c>
      <c r="M146" s="294" t="s">
        <v>318</v>
      </c>
      <c r="N146" s="294">
        <v>0.54300000000000004</v>
      </c>
      <c r="O146" s="295">
        <v>92000</v>
      </c>
      <c r="P146" s="216"/>
      <c r="Q146" s="216"/>
      <c r="R146" s="216"/>
      <c r="S146" s="216"/>
      <c r="T146" s="216"/>
      <c r="U146" s="216"/>
      <c r="V146" s="216"/>
      <c r="W146" s="216"/>
      <c r="X146" s="216"/>
      <c r="Y146" s="216"/>
      <c r="Z146" s="216"/>
      <c r="AA146" s="216"/>
      <c r="AB146" s="216"/>
      <c r="AC146" s="216"/>
      <c r="AD146" s="216"/>
      <c r="AE146" s="216"/>
      <c r="AF146" s="216"/>
    </row>
    <row r="147" spans="1:32">
      <c r="A147" s="216"/>
      <c r="B147" s="216"/>
      <c r="C147" s="216"/>
      <c r="D147" s="216"/>
      <c r="E147" s="216"/>
      <c r="F147" s="216"/>
      <c r="G147" s="216"/>
      <c r="H147" s="216"/>
      <c r="I147" s="216"/>
      <c r="J147" s="216"/>
      <c r="K147" s="293" t="s">
        <v>221</v>
      </c>
      <c r="L147" s="294" t="s">
        <v>439</v>
      </c>
      <c r="M147" s="294" t="s">
        <v>316</v>
      </c>
      <c r="N147" s="294">
        <v>0</v>
      </c>
      <c r="O147" s="295">
        <v>158000</v>
      </c>
      <c r="P147" s="216"/>
      <c r="Q147" s="216"/>
      <c r="R147" s="216"/>
      <c r="S147" s="216"/>
      <c r="T147" s="216"/>
      <c r="U147" s="216"/>
      <c r="V147" s="216"/>
      <c r="W147" s="216"/>
      <c r="X147" s="216"/>
      <c r="Y147" s="216"/>
      <c r="Z147" s="216"/>
      <c r="AA147" s="216"/>
      <c r="AB147" s="216"/>
      <c r="AC147" s="216"/>
      <c r="AD147" s="216"/>
      <c r="AE147" s="216"/>
      <c r="AF147" s="216"/>
    </row>
    <row r="148" spans="1:32">
      <c r="A148" s="216"/>
      <c r="B148" s="216"/>
      <c r="C148" s="216"/>
      <c r="D148" s="216"/>
      <c r="E148" s="216"/>
      <c r="F148" s="216"/>
      <c r="G148" s="216"/>
      <c r="H148" s="216"/>
      <c r="I148" s="216"/>
      <c r="J148" s="216"/>
      <c r="K148" s="293" t="s">
        <v>221</v>
      </c>
      <c r="L148" s="294" t="s">
        <v>440</v>
      </c>
      <c r="M148" s="294" t="s">
        <v>316</v>
      </c>
      <c r="N148" s="294">
        <v>0</v>
      </c>
      <c r="O148" s="295">
        <v>120000</v>
      </c>
      <c r="P148" s="216"/>
      <c r="Q148" s="216"/>
      <c r="R148" s="216"/>
      <c r="S148" s="216"/>
      <c r="T148" s="216"/>
      <c r="U148" s="216"/>
      <c r="V148" s="216"/>
      <c r="W148" s="216"/>
      <c r="X148" s="216"/>
      <c r="Y148" s="216"/>
      <c r="Z148" s="216"/>
      <c r="AA148" s="216"/>
      <c r="AB148" s="216"/>
      <c r="AC148" s="216"/>
      <c r="AD148" s="216"/>
      <c r="AE148" s="216"/>
      <c r="AF148" s="216"/>
    </row>
    <row r="149" spans="1:32">
      <c r="A149" s="216"/>
      <c r="B149" s="216"/>
      <c r="C149" s="216"/>
      <c r="D149" s="216"/>
      <c r="E149" s="216"/>
      <c r="F149" s="216"/>
      <c r="G149" s="216"/>
      <c r="H149" s="216"/>
      <c r="I149" s="216"/>
      <c r="J149" s="216"/>
      <c r="K149" s="293" t="s">
        <v>221</v>
      </c>
      <c r="L149" s="294" t="s">
        <v>441</v>
      </c>
      <c r="M149" s="294" t="s">
        <v>403</v>
      </c>
      <c r="N149" s="294">
        <v>1.4850000000000001</v>
      </c>
      <c r="O149" s="295">
        <v>195000</v>
      </c>
      <c r="P149" s="216"/>
      <c r="Q149" s="216"/>
      <c r="R149" s="216"/>
      <c r="S149" s="216"/>
      <c r="T149" s="216"/>
      <c r="U149" s="216"/>
      <c r="V149" s="216"/>
      <c r="W149" s="216"/>
      <c r="X149" s="216"/>
      <c r="Y149" s="216"/>
      <c r="Z149" s="216"/>
      <c r="AA149" s="216"/>
      <c r="AB149" s="216"/>
      <c r="AC149" s="216"/>
      <c r="AD149" s="216"/>
      <c r="AE149" s="216"/>
      <c r="AF149" s="216"/>
    </row>
    <row r="150" spans="1:32">
      <c r="A150" s="216"/>
      <c r="B150" s="216"/>
      <c r="C150" s="216"/>
      <c r="D150" s="216"/>
      <c r="E150" s="216"/>
      <c r="F150" s="216"/>
      <c r="G150" s="216"/>
      <c r="H150" s="216"/>
      <c r="I150" s="216"/>
      <c r="J150" s="216"/>
      <c r="K150" s="293" t="s">
        <v>221</v>
      </c>
      <c r="L150" s="294" t="s">
        <v>442</v>
      </c>
      <c r="M150" s="294" t="s">
        <v>403</v>
      </c>
      <c r="N150" s="294">
        <v>1.522</v>
      </c>
      <c r="O150" s="295">
        <v>1640000</v>
      </c>
      <c r="P150" s="216"/>
      <c r="Q150" s="216"/>
      <c r="R150" s="216"/>
      <c r="S150" s="216"/>
      <c r="T150" s="216"/>
      <c r="U150" s="216"/>
      <c r="V150" s="216"/>
      <c r="W150" s="216"/>
      <c r="X150" s="216"/>
      <c r="Y150" s="216"/>
      <c r="Z150" s="216"/>
      <c r="AA150" s="216"/>
      <c r="AB150" s="216"/>
      <c r="AC150" s="216"/>
      <c r="AD150" s="216"/>
      <c r="AE150" s="216"/>
      <c r="AF150" s="216"/>
    </row>
    <row r="151" spans="1:32">
      <c r="A151" s="216"/>
      <c r="B151" s="216"/>
      <c r="C151" s="216"/>
      <c r="D151" s="216"/>
      <c r="E151" s="216"/>
      <c r="F151" s="216"/>
      <c r="G151" s="216"/>
      <c r="H151" s="216"/>
      <c r="I151" s="216"/>
      <c r="J151" s="216"/>
      <c r="K151" s="293" t="s">
        <v>221</v>
      </c>
      <c r="L151" s="294" t="s">
        <v>443</v>
      </c>
      <c r="M151" s="294" t="s">
        <v>316</v>
      </c>
      <c r="N151" s="294">
        <v>0</v>
      </c>
      <c r="O151" s="295">
        <v>29000</v>
      </c>
      <c r="P151" s="216"/>
      <c r="Q151" s="216"/>
      <c r="R151" s="216"/>
      <c r="S151" s="216"/>
      <c r="T151" s="216"/>
      <c r="U151" s="216"/>
      <c r="V151" s="216"/>
      <c r="W151" s="216"/>
      <c r="X151" s="216"/>
      <c r="Y151" s="216"/>
      <c r="Z151" s="216"/>
      <c r="AA151" s="216"/>
      <c r="AB151" s="216"/>
      <c r="AC151" s="216"/>
      <c r="AD151" s="216"/>
      <c r="AE151" s="216"/>
      <c r="AF151" s="216"/>
    </row>
    <row r="152" spans="1:32">
      <c r="A152" s="216"/>
      <c r="B152" s="216"/>
      <c r="C152" s="216"/>
      <c r="D152" s="216"/>
      <c r="E152" s="216"/>
      <c r="F152" s="216"/>
      <c r="G152" s="216"/>
      <c r="H152" s="216"/>
      <c r="I152" s="216"/>
      <c r="J152" s="216"/>
      <c r="K152" s="293" t="s">
        <v>221</v>
      </c>
      <c r="L152" s="294" t="s">
        <v>444</v>
      </c>
      <c r="M152" s="294" t="s">
        <v>318</v>
      </c>
      <c r="N152" s="294">
        <v>0.80600000000000005</v>
      </c>
      <c r="O152" s="295">
        <v>228000</v>
      </c>
      <c r="P152" s="216"/>
      <c r="Q152" s="216"/>
      <c r="R152" s="216"/>
      <c r="S152" s="216"/>
      <c r="T152" s="216"/>
      <c r="U152" s="216"/>
      <c r="V152" s="216"/>
      <c r="W152" s="216"/>
      <c r="X152" s="216"/>
      <c r="Y152" s="216"/>
      <c r="Z152" s="216"/>
      <c r="AA152" s="216"/>
      <c r="AB152" s="216"/>
      <c r="AC152" s="216"/>
      <c r="AD152" s="216"/>
      <c r="AE152" s="216"/>
      <c r="AF152" s="216"/>
    </row>
    <row r="153" spans="1:32">
      <c r="A153" s="216"/>
      <c r="B153" s="216"/>
      <c r="C153" s="216"/>
      <c r="D153" s="216"/>
      <c r="E153" s="216"/>
      <c r="F153" s="216"/>
      <c r="G153" s="216"/>
      <c r="H153" s="216"/>
      <c r="I153" s="216"/>
      <c r="J153" s="216"/>
      <c r="K153" s="293" t="s">
        <v>221</v>
      </c>
      <c r="L153" s="294" t="s">
        <v>445</v>
      </c>
      <c r="M153" s="294" t="s">
        <v>318</v>
      </c>
      <c r="N153" s="294">
        <v>0.80600000000000005</v>
      </c>
      <c r="O153" s="295">
        <v>255000</v>
      </c>
      <c r="P153" s="216"/>
      <c r="Q153" s="216"/>
      <c r="R153" s="216"/>
      <c r="S153" s="216"/>
      <c r="T153" s="216"/>
      <c r="U153" s="216"/>
      <c r="V153" s="216"/>
      <c r="W153" s="216"/>
      <c r="X153" s="216"/>
      <c r="Y153" s="216"/>
      <c r="Z153" s="216"/>
      <c r="AA153" s="216"/>
      <c r="AB153" s="216"/>
      <c r="AC153" s="216"/>
      <c r="AD153" s="216"/>
      <c r="AE153" s="216"/>
      <c r="AF153" s="216"/>
    </row>
    <row r="154" spans="1:32">
      <c r="A154" s="216"/>
      <c r="B154" s="216"/>
      <c r="C154" s="216"/>
      <c r="D154" s="216"/>
      <c r="E154" s="216"/>
      <c r="F154" s="216"/>
      <c r="G154" s="216"/>
      <c r="H154" s="216"/>
      <c r="I154" s="216"/>
      <c r="J154" s="216"/>
      <c r="K154" s="293" t="s">
        <v>221</v>
      </c>
      <c r="L154" s="294" t="s">
        <v>446</v>
      </c>
      <c r="M154" s="294" t="s">
        <v>318</v>
      </c>
      <c r="N154" s="294">
        <v>0.60799999999999998</v>
      </c>
      <c r="O154" s="295">
        <v>312000</v>
      </c>
      <c r="P154" s="216"/>
      <c r="Q154" s="216"/>
      <c r="R154" s="216"/>
      <c r="S154" s="216"/>
      <c r="T154" s="216"/>
      <c r="U154" s="216"/>
      <c r="V154" s="216"/>
      <c r="W154" s="216"/>
      <c r="X154" s="216"/>
      <c r="Y154" s="216"/>
      <c r="Z154" s="216"/>
      <c r="AA154" s="216"/>
      <c r="AB154" s="216"/>
      <c r="AC154" s="216"/>
      <c r="AD154" s="216"/>
      <c r="AE154" s="216"/>
      <c r="AF154" s="216"/>
    </row>
    <row r="155" spans="1:32">
      <c r="A155" s="216"/>
      <c r="B155" s="216"/>
      <c r="C155" s="216"/>
      <c r="D155" s="216"/>
      <c r="E155" s="216"/>
      <c r="F155" s="216"/>
      <c r="G155" s="216"/>
      <c r="H155" s="216"/>
      <c r="I155" s="216"/>
      <c r="J155" s="216"/>
      <c r="K155" s="293" t="s">
        <v>221</v>
      </c>
      <c r="L155" s="294" t="s">
        <v>447</v>
      </c>
      <c r="M155" s="294" t="s">
        <v>403</v>
      </c>
      <c r="N155" s="294">
        <v>1.2110000000000001</v>
      </c>
      <c r="O155" s="295">
        <v>2180000</v>
      </c>
      <c r="P155" s="216"/>
      <c r="Q155" s="216"/>
      <c r="R155" s="216"/>
      <c r="S155" s="216"/>
      <c r="T155" s="216"/>
      <c r="U155" s="216"/>
      <c r="V155" s="216"/>
      <c r="W155" s="216"/>
      <c r="X155" s="216"/>
      <c r="Y155" s="216"/>
      <c r="Z155" s="216"/>
      <c r="AA155" s="216"/>
      <c r="AB155" s="216"/>
      <c r="AC155" s="216"/>
      <c r="AD155" s="216"/>
      <c r="AE155" s="216"/>
      <c r="AF155" s="216"/>
    </row>
    <row r="156" spans="1:32">
      <c r="A156" s="216"/>
      <c r="B156" s="216"/>
      <c r="C156" s="216"/>
      <c r="D156" s="216"/>
      <c r="E156" s="216"/>
      <c r="F156" s="216"/>
      <c r="G156" s="216"/>
      <c r="H156" s="216"/>
      <c r="I156" s="216"/>
      <c r="J156" s="216"/>
      <c r="K156" s="293" t="s">
        <v>221</v>
      </c>
      <c r="L156" s="294" t="s">
        <v>448</v>
      </c>
      <c r="M156" s="294" t="s">
        <v>403</v>
      </c>
      <c r="N156" s="294">
        <v>1.238</v>
      </c>
      <c r="O156" s="295">
        <v>1050000</v>
      </c>
      <c r="P156" s="216"/>
      <c r="Q156" s="216"/>
      <c r="R156" s="216"/>
      <c r="S156" s="216"/>
      <c r="T156" s="216"/>
      <c r="U156" s="216"/>
      <c r="V156" s="216"/>
      <c r="W156" s="216"/>
      <c r="X156" s="216"/>
      <c r="Y156" s="216"/>
      <c r="Z156" s="216"/>
      <c r="AA156" s="216"/>
      <c r="AB156" s="216"/>
      <c r="AC156" s="216"/>
      <c r="AD156" s="216"/>
      <c r="AE156" s="216"/>
      <c r="AF156" s="216"/>
    </row>
    <row r="157" spans="1:32">
      <c r="A157" s="216"/>
      <c r="B157" s="216"/>
      <c r="C157" s="216"/>
      <c r="D157" s="216"/>
      <c r="E157" s="216"/>
      <c r="F157" s="216"/>
      <c r="G157" s="216"/>
      <c r="H157" s="216"/>
      <c r="I157" s="216"/>
      <c r="J157" s="216"/>
      <c r="K157" s="293" t="s">
        <v>221</v>
      </c>
      <c r="L157" s="294" t="s">
        <v>449</v>
      </c>
      <c r="M157" s="294" t="s">
        <v>322</v>
      </c>
      <c r="N157" s="294">
        <v>0</v>
      </c>
      <c r="O157" s="295">
        <v>420000</v>
      </c>
      <c r="P157" s="216"/>
      <c r="Q157" s="216"/>
      <c r="R157" s="216"/>
      <c r="S157" s="216"/>
      <c r="T157" s="216"/>
      <c r="U157" s="216"/>
      <c r="V157" s="216"/>
      <c r="W157" s="216"/>
      <c r="X157" s="216"/>
      <c r="Y157" s="216"/>
      <c r="Z157" s="216"/>
      <c r="AA157" s="216"/>
      <c r="AB157" s="216"/>
      <c r="AC157" s="216"/>
      <c r="AD157" s="216"/>
      <c r="AE157" s="216"/>
      <c r="AF157" s="216"/>
    </row>
    <row r="158" spans="1:32">
      <c r="A158" s="216"/>
      <c r="B158" s="216"/>
      <c r="C158" s="216"/>
      <c r="D158" s="216"/>
      <c r="E158" s="216"/>
      <c r="F158" s="216"/>
      <c r="G158" s="216"/>
      <c r="H158" s="216"/>
      <c r="I158" s="216"/>
      <c r="J158" s="216"/>
      <c r="K158" s="293" t="s">
        <v>221</v>
      </c>
      <c r="L158" s="294" t="s">
        <v>450</v>
      </c>
      <c r="M158" s="294" t="s">
        <v>316</v>
      </c>
      <c r="N158" s="294">
        <v>0</v>
      </c>
      <c r="O158" s="295">
        <v>300000</v>
      </c>
      <c r="P158" s="216"/>
      <c r="Q158" s="216"/>
      <c r="R158" s="216"/>
      <c r="S158" s="216"/>
      <c r="T158" s="216"/>
      <c r="U158" s="216"/>
      <c r="V158" s="216"/>
      <c r="W158" s="216"/>
      <c r="X158" s="216"/>
      <c r="Y158" s="216"/>
      <c r="Z158" s="216"/>
      <c r="AA158" s="216"/>
      <c r="AB158" s="216"/>
      <c r="AC158" s="216"/>
      <c r="AD158" s="216"/>
      <c r="AE158" s="216"/>
      <c r="AF158" s="216"/>
    </row>
    <row r="159" spans="1:32">
      <c r="A159" s="216"/>
      <c r="B159" s="216"/>
      <c r="C159" s="216"/>
      <c r="D159" s="216"/>
      <c r="E159" s="216"/>
      <c r="F159" s="216"/>
      <c r="G159" s="216"/>
      <c r="H159" s="216"/>
      <c r="I159" s="216"/>
      <c r="J159" s="216"/>
      <c r="K159" s="293" t="s">
        <v>221</v>
      </c>
      <c r="L159" s="294" t="s">
        <v>451</v>
      </c>
      <c r="M159" s="294" t="s">
        <v>318</v>
      </c>
      <c r="N159" s="294">
        <v>0.57699999999999996</v>
      </c>
      <c r="O159" s="295">
        <v>566000</v>
      </c>
      <c r="P159" s="216"/>
      <c r="Q159" s="216"/>
      <c r="R159" s="216"/>
      <c r="S159" s="216"/>
      <c r="T159" s="216"/>
      <c r="U159" s="216"/>
      <c r="V159" s="216"/>
      <c r="W159" s="216"/>
      <c r="X159" s="216"/>
      <c r="Y159" s="216"/>
      <c r="Z159" s="216"/>
      <c r="AA159" s="216"/>
      <c r="AB159" s="216"/>
      <c r="AC159" s="216"/>
      <c r="AD159" s="216"/>
      <c r="AE159" s="216"/>
      <c r="AF159" s="216"/>
    </row>
    <row r="160" spans="1:32">
      <c r="A160" s="216"/>
      <c r="B160" s="216"/>
      <c r="C160" s="216"/>
      <c r="D160" s="216"/>
      <c r="E160" s="216"/>
      <c r="F160" s="216"/>
      <c r="G160" s="216"/>
      <c r="H160" s="216"/>
      <c r="I160" s="216"/>
      <c r="J160" s="216"/>
      <c r="K160" s="293" t="s">
        <v>221</v>
      </c>
      <c r="L160" s="294" t="s">
        <v>452</v>
      </c>
      <c r="M160" s="294" t="s">
        <v>322</v>
      </c>
      <c r="N160" s="294">
        <v>0</v>
      </c>
      <c r="O160" s="295">
        <v>131000</v>
      </c>
      <c r="P160" s="216"/>
      <c r="Q160" s="216"/>
      <c r="R160" s="216"/>
      <c r="S160" s="216"/>
      <c r="T160" s="216"/>
      <c r="U160" s="216"/>
      <c r="V160" s="216"/>
      <c r="W160" s="216"/>
      <c r="X160" s="216"/>
      <c r="Y160" s="216"/>
      <c r="Z160" s="216"/>
      <c r="AA160" s="216"/>
      <c r="AB160" s="216"/>
      <c r="AC160" s="216"/>
      <c r="AD160" s="216"/>
      <c r="AE160" s="216"/>
      <c r="AF160" s="216"/>
    </row>
    <row r="161" spans="1:32">
      <c r="A161" s="216"/>
      <c r="B161" s="216"/>
      <c r="C161" s="216"/>
      <c r="D161" s="216"/>
      <c r="E161" s="216"/>
      <c r="F161" s="216"/>
      <c r="G161" s="216"/>
      <c r="H161" s="216"/>
      <c r="I161" s="216"/>
      <c r="J161" s="216"/>
      <c r="K161" s="293" t="s">
        <v>221</v>
      </c>
      <c r="L161" s="294" t="s">
        <v>453</v>
      </c>
      <c r="M161" s="294" t="s">
        <v>316</v>
      </c>
      <c r="N161" s="294">
        <v>0</v>
      </c>
      <c r="O161" s="295">
        <v>1500000</v>
      </c>
      <c r="P161" s="216"/>
      <c r="Q161" s="216"/>
      <c r="R161" s="216"/>
      <c r="S161" s="216"/>
      <c r="T161" s="216"/>
      <c r="U161" s="216"/>
      <c r="V161" s="216"/>
      <c r="W161" s="216"/>
      <c r="X161" s="216"/>
      <c r="Y161" s="216"/>
      <c r="Z161" s="216"/>
      <c r="AA161" s="216"/>
      <c r="AB161" s="216"/>
      <c r="AC161" s="216"/>
      <c r="AD161" s="216"/>
      <c r="AE161" s="216"/>
      <c r="AF161" s="216"/>
    </row>
    <row r="162" spans="1:32">
      <c r="A162" s="216"/>
      <c r="B162" s="216"/>
      <c r="C162" s="216"/>
      <c r="D162" s="216"/>
      <c r="E162" s="216"/>
      <c r="F162" s="216"/>
      <c r="G162" s="216"/>
      <c r="H162" s="216"/>
      <c r="I162" s="216"/>
      <c r="J162" s="216"/>
      <c r="K162" s="293" t="s">
        <v>221</v>
      </c>
      <c r="L162" s="294" t="s">
        <v>454</v>
      </c>
      <c r="M162" s="294" t="s">
        <v>318</v>
      </c>
      <c r="N162" s="294">
        <v>0.55500000000000005</v>
      </c>
      <c r="O162" s="295">
        <v>500000</v>
      </c>
      <c r="P162" s="216"/>
      <c r="Q162" s="216"/>
      <c r="R162" s="216"/>
      <c r="S162" s="216"/>
      <c r="T162" s="216"/>
      <c r="U162" s="216"/>
      <c r="V162" s="216"/>
      <c r="W162" s="216"/>
      <c r="X162" s="216"/>
      <c r="Y162" s="216"/>
      <c r="Z162" s="216"/>
      <c r="AA162" s="216"/>
      <c r="AB162" s="216"/>
      <c r="AC162" s="216"/>
      <c r="AD162" s="216"/>
      <c r="AE162" s="216"/>
      <c r="AF162" s="216"/>
    </row>
    <row r="163" spans="1:32">
      <c r="A163" s="216"/>
      <c r="B163" s="216"/>
      <c r="C163" s="216"/>
      <c r="D163" s="216"/>
      <c r="E163" s="216"/>
      <c r="F163" s="216"/>
      <c r="G163" s="216"/>
      <c r="H163" s="216"/>
      <c r="I163" s="216"/>
      <c r="J163" s="216"/>
      <c r="K163" s="293" t="s">
        <v>221</v>
      </c>
      <c r="L163" s="294" t="s">
        <v>455</v>
      </c>
      <c r="M163" s="294" t="s">
        <v>322</v>
      </c>
      <c r="N163" s="294">
        <v>0</v>
      </c>
      <c r="O163" s="295">
        <v>63000</v>
      </c>
      <c r="P163" s="216"/>
      <c r="Q163" s="216"/>
      <c r="R163" s="216"/>
      <c r="S163" s="216"/>
      <c r="T163" s="216"/>
      <c r="U163" s="216"/>
      <c r="V163" s="216"/>
      <c r="W163" s="216"/>
      <c r="X163" s="216"/>
      <c r="Y163" s="216"/>
      <c r="Z163" s="216"/>
      <c r="AA163" s="216"/>
      <c r="AB163" s="216"/>
      <c r="AC163" s="216"/>
      <c r="AD163" s="216"/>
      <c r="AE163" s="216"/>
      <c r="AF163" s="216"/>
    </row>
    <row r="164" spans="1:32">
      <c r="A164" s="216"/>
      <c r="B164" s="216"/>
      <c r="C164" s="216"/>
      <c r="D164" s="216"/>
      <c r="E164" s="216"/>
      <c r="F164" s="216"/>
      <c r="G164" s="216"/>
      <c r="H164" s="216"/>
      <c r="I164" s="216"/>
      <c r="J164" s="216"/>
      <c r="K164" s="293" t="s">
        <v>221</v>
      </c>
      <c r="L164" s="294" t="s">
        <v>456</v>
      </c>
      <c r="M164" s="294" t="s">
        <v>318</v>
      </c>
      <c r="N164" s="294">
        <v>0.77</v>
      </c>
      <c r="O164" s="295">
        <v>160000</v>
      </c>
      <c r="P164" s="216"/>
      <c r="Q164" s="216"/>
      <c r="R164" s="216"/>
      <c r="S164" s="216"/>
      <c r="T164" s="216"/>
      <c r="U164" s="216"/>
      <c r="V164" s="216"/>
      <c r="W164" s="216"/>
      <c r="X164" s="216"/>
      <c r="Y164" s="216"/>
      <c r="Z164" s="216"/>
      <c r="AA164" s="216"/>
      <c r="AB164" s="216"/>
      <c r="AC164" s="216"/>
      <c r="AD164" s="216"/>
      <c r="AE164" s="216"/>
      <c r="AF164" s="216"/>
    </row>
    <row r="165" spans="1:32">
      <c r="A165" s="216"/>
      <c r="B165" s="216"/>
      <c r="C165" s="216"/>
      <c r="D165" s="216"/>
      <c r="E165" s="216"/>
      <c r="F165" s="216"/>
      <c r="G165" s="216"/>
      <c r="H165" s="216"/>
      <c r="I165" s="216"/>
      <c r="J165" s="216"/>
      <c r="K165" s="293" t="s">
        <v>221</v>
      </c>
      <c r="L165" s="294" t="s">
        <v>457</v>
      </c>
      <c r="M165" s="294" t="s">
        <v>318</v>
      </c>
      <c r="N165" s="294">
        <v>0.77</v>
      </c>
      <c r="O165" s="295">
        <v>300000</v>
      </c>
      <c r="P165" s="216"/>
      <c r="Q165" s="216"/>
      <c r="R165" s="216"/>
      <c r="S165" s="216"/>
      <c r="T165" s="216"/>
      <c r="U165" s="216"/>
      <c r="V165" s="216"/>
      <c r="W165" s="216"/>
      <c r="X165" s="216"/>
      <c r="Y165" s="216"/>
      <c r="Z165" s="216"/>
      <c r="AA165" s="216"/>
      <c r="AB165" s="216"/>
      <c r="AC165" s="216"/>
      <c r="AD165" s="216"/>
      <c r="AE165" s="216"/>
      <c r="AF165" s="216"/>
    </row>
    <row r="166" spans="1:32">
      <c r="A166" s="216"/>
      <c r="B166" s="216"/>
      <c r="C166" s="216"/>
      <c r="D166" s="216"/>
      <c r="E166" s="216"/>
      <c r="F166" s="216"/>
      <c r="G166" s="216"/>
      <c r="H166" s="216"/>
      <c r="I166" s="216"/>
      <c r="J166" s="216"/>
      <c r="K166" s="293" t="s">
        <v>221</v>
      </c>
      <c r="L166" s="294" t="s">
        <v>458</v>
      </c>
      <c r="M166" s="294" t="s">
        <v>316</v>
      </c>
      <c r="N166" s="294">
        <v>0</v>
      </c>
      <c r="O166" s="295">
        <v>62000</v>
      </c>
      <c r="P166" s="216"/>
      <c r="Q166" s="216"/>
      <c r="R166" s="216"/>
      <c r="S166" s="216"/>
      <c r="T166" s="216"/>
      <c r="U166" s="216"/>
      <c r="V166" s="216"/>
      <c r="W166" s="216"/>
      <c r="X166" s="216"/>
      <c r="Y166" s="216"/>
      <c r="Z166" s="216"/>
      <c r="AA166" s="216"/>
      <c r="AB166" s="216"/>
      <c r="AC166" s="216"/>
      <c r="AD166" s="216"/>
      <c r="AE166" s="216"/>
      <c r="AF166" s="216"/>
    </row>
    <row r="167" spans="1:32">
      <c r="A167" s="216"/>
      <c r="B167" s="216"/>
      <c r="C167" s="216"/>
      <c r="D167" s="216"/>
      <c r="E167" s="216"/>
      <c r="F167" s="216"/>
      <c r="G167" s="216"/>
      <c r="H167" s="216"/>
      <c r="I167" s="216"/>
      <c r="J167" s="216"/>
      <c r="K167" s="293" t="s">
        <v>221</v>
      </c>
      <c r="L167" s="294" t="s">
        <v>459</v>
      </c>
      <c r="M167" s="294" t="s">
        <v>403</v>
      </c>
      <c r="N167" s="294">
        <v>1.417</v>
      </c>
      <c r="O167" s="295">
        <v>1538000</v>
      </c>
      <c r="P167" s="216"/>
      <c r="Q167" s="216"/>
      <c r="R167" s="216"/>
      <c r="S167" s="216"/>
      <c r="T167" s="216"/>
      <c r="U167" s="216"/>
      <c r="V167" s="216"/>
      <c r="W167" s="216"/>
      <c r="X167" s="216"/>
      <c r="Y167" s="216"/>
      <c r="Z167" s="216"/>
      <c r="AA167" s="216"/>
      <c r="AB167" s="216"/>
      <c r="AC167" s="216"/>
      <c r="AD167" s="216"/>
      <c r="AE167" s="216"/>
      <c r="AF167" s="216"/>
    </row>
    <row r="168" spans="1:32">
      <c r="A168" s="216"/>
      <c r="B168" s="216"/>
      <c r="C168" s="216"/>
      <c r="D168" s="216"/>
      <c r="E168" s="216"/>
      <c r="F168" s="216"/>
      <c r="G168" s="216"/>
      <c r="H168" s="216"/>
      <c r="I168" s="216"/>
      <c r="J168" s="216"/>
      <c r="K168" s="293" t="s">
        <v>220</v>
      </c>
      <c r="L168" s="294" t="s">
        <v>460</v>
      </c>
      <c r="M168" s="294" t="s">
        <v>322</v>
      </c>
      <c r="N168" s="294">
        <v>0</v>
      </c>
      <c r="O168" s="295">
        <v>22000</v>
      </c>
      <c r="P168" s="216"/>
      <c r="Q168" s="216"/>
      <c r="R168" s="216"/>
      <c r="S168" s="216"/>
      <c r="T168" s="216"/>
      <c r="U168" s="216"/>
      <c r="V168" s="216"/>
      <c r="W168" s="216"/>
      <c r="X168" s="216"/>
      <c r="Y168" s="216"/>
      <c r="Z168" s="216"/>
      <c r="AA168" s="216"/>
      <c r="AB168" s="216"/>
      <c r="AC168" s="216"/>
      <c r="AD168" s="216"/>
      <c r="AE168" s="216"/>
      <c r="AF168" s="216"/>
    </row>
    <row r="169" spans="1:32">
      <c r="A169" s="216"/>
      <c r="B169" s="216"/>
      <c r="C169" s="216"/>
      <c r="D169" s="216"/>
      <c r="E169" s="216"/>
      <c r="F169" s="216"/>
      <c r="G169" s="216"/>
      <c r="H169" s="216"/>
      <c r="I169" s="216"/>
      <c r="J169" s="216"/>
      <c r="K169" s="293" t="s">
        <v>220</v>
      </c>
      <c r="L169" s="294" t="s">
        <v>461</v>
      </c>
      <c r="M169" s="294" t="s">
        <v>318</v>
      </c>
      <c r="N169" s="294">
        <v>0.61599999999999999</v>
      </c>
      <c r="O169" s="295">
        <v>5000</v>
      </c>
      <c r="P169" s="216"/>
      <c r="Q169" s="216"/>
      <c r="R169" s="216"/>
      <c r="S169" s="216"/>
      <c r="T169" s="216"/>
      <c r="U169" s="216"/>
      <c r="V169" s="216"/>
      <c r="W169" s="216"/>
      <c r="X169" s="216"/>
      <c r="Y169" s="216"/>
      <c r="Z169" s="216"/>
      <c r="AA169" s="216"/>
      <c r="AB169" s="216"/>
      <c r="AC169" s="216"/>
      <c r="AD169" s="216"/>
      <c r="AE169" s="216"/>
      <c r="AF169" s="216"/>
    </row>
    <row r="170" spans="1:32">
      <c r="A170" s="216"/>
      <c r="B170" s="216"/>
      <c r="C170" s="216"/>
      <c r="D170" s="216"/>
      <c r="E170" s="216"/>
      <c r="F170" s="216"/>
      <c r="G170" s="216"/>
      <c r="H170" s="216"/>
      <c r="I170" s="216"/>
      <c r="J170" s="216"/>
      <c r="K170" s="293" t="s">
        <v>220</v>
      </c>
      <c r="L170" s="294" t="s">
        <v>462</v>
      </c>
      <c r="M170" s="294" t="s">
        <v>318</v>
      </c>
      <c r="N170" s="294">
        <v>0.61599999999999999</v>
      </c>
      <c r="O170" s="295">
        <v>10000</v>
      </c>
      <c r="P170" s="216"/>
      <c r="Q170" s="216"/>
      <c r="R170" s="216"/>
      <c r="S170" s="216"/>
      <c r="T170" s="216"/>
      <c r="U170" s="216"/>
      <c r="V170" s="216"/>
      <c r="W170" s="216"/>
      <c r="X170" s="216"/>
      <c r="Y170" s="216"/>
      <c r="Z170" s="216"/>
      <c r="AA170" s="216"/>
      <c r="AB170" s="216"/>
      <c r="AC170" s="216"/>
      <c r="AD170" s="216"/>
      <c r="AE170" s="216"/>
      <c r="AF170" s="216"/>
    </row>
    <row r="171" spans="1:32">
      <c r="A171" s="216"/>
      <c r="B171" s="216"/>
      <c r="C171" s="216"/>
      <c r="D171" s="216"/>
      <c r="E171" s="216"/>
      <c r="F171" s="216"/>
      <c r="G171" s="216"/>
      <c r="H171" s="216"/>
      <c r="I171" s="216"/>
      <c r="J171" s="216"/>
      <c r="K171" s="293" t="s">
        <v>220</v>
      </c>
      <c r="L171" s="294" t="s">
        <v>463</v>
      </c>
      <c r="M171" s="294" t="s">
        <v>318</v>
      </c>
      <c r="N171" s="294">
        <v>0.61599999999999999</v>
      </c>
      <c r="O171" s="295">
        <v>25000</v>
      </c>
      <c r="P171" s="216"/>
      <c r="Q171" s="216"/>
      <c r="R171" s="216"/>
      <c r="S171" s="216"/>
      <c r="T171" s="216"/>
      <c r="U171" s="216"/>
      <c r="V171" s="216"/>
      <c r="W171" s="216"/>
      <c r="X171" s="216"/>
      <c r="Y171" s="216"/>
      <c r="Z171" s="216"/>
      <c r="AA171" s="216"/>
      <c r="AB171" s="216"/>
      <c r="AC171" s="216"/>
      <c r="AD171" s="216"/>
      <c r="AE171" s="216"/>
      <c r="AF171" s="216"/>
    </row>
    <row r="172" spans="1:32">
      <c r="A172" s="216"/>
      <c r="B172" s="216"/>
      <c r="C172" s="216"/>
      <c r="D172" s="216"/>
      <c r="E172" s="216"/>
      <c r="F172" s="216"/>
      <c r="G172" s="216"/>
      <c r="H172" s="216"/>
      <c r="I172" s="216"/>
      <c r="J172" s="216"/>
      <c r="K172" s="293" t="s">
        <v>220</v>
      </c>
      <c r="L172" s="294" t="s">
        <v>464</v>
      </c>
      <c r="M172" s="294" t="s">
        <v>311</v>
      </c>
      <c r="N172" s="294">
        <v>0.92800000000000005</v>
      </c>
      <c r="O172" s="295">
        <v>441000</v>
      </c>
      <c r="P172" s="216"/>
      <c r="Q172" s="216"/>
      <c r="R172" s="216"/>
      <c r="S172" s="216"/>
      <c r="T172" s="216"/>
      <c r="U172" s="216"/>
      <c r="V172" s="216"/>
      <c r="W172" s="216"/>
      <c r="X172" s="216"/>
      <c r="Y172" s="216"/>
      <c r="Z172" s="216"/>
      <c r="AA172" s="216"/>
      <c r="AB172" s="216"/>
      <c r="AC172" s="216"/>
      <c r="AD172" s="216"/>
      <c r="AE172" s="216"/>
      <c r="AF172" s="216"/>
    </row>
    <row r="173" spans="1:32">
      <c r="A173" s="216"/>
      <c r="B173" s="216"/>
      <c r="C173" s="216"/>
      <c r="D173" s="216"/>
      <c r="E173" s="216"/>
      <c r="F173" s="216"/>
      <c r="G173" s="216"/>
      <c r="H173" s="216"/>
      <c r="I173" s="216"/>
      <c r="J173" s="216"/>
      <c r="K173" s="293" t="s">
        <v>220</v>
      </c>
      <c r="L173" s="294" t="s">
        <v>465</v>
      </c>
      <c r="M173" s="294" t="s">
        <v>318</v>
      </c>
      <c r="N173" s="294">
        <v>0.56000000000000005</v>
      </c>
      <c r="O173" s="295">
        <v>81000</v>
      </c>
      <c r="P173" s="216"/>
      <c r="Q173" s="216"/>
      <c r="R173" s="216"/>
      <c r="S173" s="216"/>
      <c r="T173" s="216"/>
      <c r="U173" s="216"/>
      <c r="V173" s="216"/>
      <c r="W173" s="216"/>
      <c r="X173" s="216"/>
      <c r="Y173" s="216"/>
      <c r="Z173" s="216"/>
      <c r="AA173" s="216"/>
      <c r="AB173" s="216"/>
      <c r="AC173" s="216"/>
      <c r="AD173" s="216"/>
      <c r="AE173" s="216"/>
      <c r="AF173" s="216"/>
    </row>
    <row r="174" spans="1:32">
      <c r="A174" s="216"/>
      <c r="B174" s="216"/>
      <c r="C174" s="216"/>
      <c r="D174" s="216"/>
      <c r="E174" s="216"/>
      <c r="F174" s="216"/>
      <c r="G174" s="216"/>
      <c r="H174" s="216"/>
      <c r="I174" s="216"/>
      <c r="J174" s="216"/>
      <c r="K174" s="293" t="s">
        <v>220</v>
      </c>
      <c r="L174" s="294" t="s">
        <v>466</v>
      </c>
      <c r="M174" s="294" t="s">
        <v>467</v>
      </c>
      <c r="N174" s="294">
        <v>0</v>
      </c>
      <c r="O174" s="295">
        <v>9000</v>
      </c>
      <c r="P174" s="216"/>
      <c r="Q174" s="216"/>
      <c r="R174" s="216"/>
      <c r="S174" s="216"/>
      <c r="T174" s="216"/>
      <c r="U174" s="216"/>
      <c r="V174" s="216"/>
      <c r="W174" s="216"/>
      <c r="X174" s="216"/>
      <c r="Y174" s="216"/>
      <c r="Z174" s="216"/>
      <c r="AA174" s="216"/>
      <c r="AB174" s="216"/>
      <c r="AC174" s="216"/>
      <c r="AD174" s="216"/>
      <c r="AE174" s="216"/>
      <c r="AF174" s="216"/>
    </row>
    <row r="175" spans="1:32">
      <c r="A175" s="216"/>
      <c r="B175" s="216"/>
      <c r="C175" s="216"/>
      <c r="D175" s="216"/>
      <c r="E175" s="216"/>
      <c r="F175" s="216"/>
      <c r="G175" s="216"/>
      <c r="H175" s="216"/>
      <c r="I175" s="216"/>
      <c r="J175" s="216"/>
      <c r="K175" s="293" t="s">
        <v>220</v>
      </c>
      <c r="L175" s="294" t="s">
        <v>468</v>
      </c>
      <c r="M175" s="294" t="s">
        <v>318</v>
      </c>
      <c r="N175" s="294">
        <v>0.38500000000000001</v>
      </c>
      <c r="O175" s="295">
        <v>246000</v>
      </c>
      <c r="P175" s="216"/>
      <c r="Q175" s="216"/>
      <c r="R175" s="216"/>
      <c r="S175" s="216"/>
      <c r="T175" s="216"/>
      <c r="U175" s="216"/>
      <c r="V175" s="216"/>
      <c r="W175" s="216"/>
      <c r="X175" s="216"/>
      <c r="Y175" s="216"/>
      <c r="Z175" s="216"/>
      <c r="AA175" s="216"/>
      <c r="AB175" s="216"/>
      <c r="AC175" s="216"/>
      <c r="AD175" s="216"/>
      <c r="AE175" s="216"/>
      <c r="AF175" s="216"/>
    </row>
    <row r="176" spans="1:32">
      <c r="A176" s="216"/>
      <c r="B176" s="216"/>
      <c r="C176" s="216"/>
      <c r="D176" s="216"/>
      <c r="E176" s="216"/>
      <c r="F176" s="216"/>
      <c r="G176" s="216"/>
      <c r="H176" s="216"/>
      <c r="I176" s="216"/>
      <c r="J176" s="216"/>
      <c r="K176" s="293" t="s">
        <v>220</v>
      </c>
      <c r="L176" s="294" t="s">
        <v>469</v>
      </c>
      <c r="M176" s="294" t="s">
        <v>322</v>
      </c>
      <c r="N176" s="294">
        <v>0</v>
      </c>
      <c r="O176" s="295">
        <v>206000</v>
      </c>
      <c r="P176" s="216"/>
      <c r="Q176" s="216"/>
      <c r="R176" s="216"/>
      <c r="S176" s="216"/>
      <c r="T176" s="216"/>
      <c r="U176" s="216"/>
      <c r="V176" s="216"/>
      <c r="W176" s="216"/>
      <c r="X176" s="216"/>
      <c r="Y176" s="216"/>
      <c r="Z176" s="216"/>
      <c r="AA176" s="216"/>
      <c r="AB176" s="216"/>
      <c r="AC176" s="216"/>
      <c r="AD176" s="216"/>
      <c r="AE176" s="216"/>
      <c r="AF176" s="216"/>
    </row>
    <row r="177" spans="1:32">
      <c r="A177" s="216"/>
      <c r="B177" s="216"/>
      <c r="C177" s="216"/>
      <c r="D177" s="216"/>
      <c r="E177" s="216"/>
      <c r="F177" s="216"/>
      <c r="G177" s="216"/>
      <c r="H177" s="216"/>
      <c r="I177" s="216"/>
      <c r="J177" s="216"/>
      <c r="K177" s="293" t="s">
        <v>220</v>
      </c>
      <c r="L177" s="294" t="s">
        <v>470</v>
      </c>
      <c r="M177" s="294" t="s">
        <v>311</v>
      </c>
      <c r="N177" s="294">
        <v>0.93100000000000005</v>
      </c>
      <c r="O177" s="295">
        <v>333000</v>
      </c>
      <c r="P177" s="216"/>
      <c r="Q177" s="216"/>
      <c r="R177" s="216"/>
      <c r="S177" s="216"/>
      <c r="T177" s="216"/>
      <c r="U177" s="216"/>
      <c r="V177" s="216"/>
      <c r="W177" s="216"/>
      <c r="X177" s="216"/>
      <c r="Y177" s="216"/>
      <c r="Z177" s="216"/>
      <c r="AA177" s="216"/>
      <c r="AB177" s="216"/>
      <c r="AC177" s="216"/>
      <c r="AD177" s="216"/>
      <c r="AE177" s="216"/>
      <c r="AF177" s="216"/>
    </row>
    <row r="178" spans="1:32">
      <c r="A178" s="216"/>
      <c r="B178" s="216"/>
      <c r="C178" s="216"/>
      <c r="D178" s="216"/>
      <c r="E178" s="216"/>
      <c r="F178" s="216"/>
      <c r="G178" s="216"/>
      <c r="H178" s="216"/>
      <c r="I178" s="216"/>
      <c r="J178" s="216"/>
      <c r="K178" s="293" t="s">
        <v>220</v>
      </c>
      <c r="L178" s="294" t="s">
        <v>471</v>
      </c>
      <c r="M178" s="294" t="s">
        <v>322</v>
      </c>
      <c r="N178" s="294">
        <v>0</v>
      </c>
      <c r="O178" s="295">
        <v>80000</v>
      </c>
      <c r="P178" s="216"/>
      <c r="Q178" s="216"/>
      <c r="R178" s="216"/>
      <c r="S178" s="216"/>
      <c r="T178" s="216"/>
      <c r="U178" s="216"/>
      <c r="V178" s="216"/>
      <c r="W178" s="216"/>
      <c r="X178" s="216"/>
      <c r="Y178" s="216"/>
      <c r="Z178" s="216"/>
      <c r="AA178" s="216"/>
      <c r="AB178" s="216"/>
      <c r="AC178" s="216"/>
      <c r="AD178" s="216"/>
      <c r="AE178" s="216"/>
      <c r="AF178" s="216"/>
    </row>
    <row r="179" spans="1:32">
      <c r="A179" s="216"/>
      <c r="B179" s="216"/>
      <c r="C179" s="216"/>
      <c r="D179" s="216"/>
      <c r="E179" s="216"/>
      <c r="F179" s="216"/>
      <c r="G179" s="216"/>
      <c r="H179" s="216"/>
      <c r="I179" s="216"/>
      <c r="J179" s="216"/>
      <c r="K179" s="293" t="s">
        <v>220</v>
      </c>
      <c r="L179" s="294" t="s">
        <v>472</v>
      </c>
      <c r="M179" s="294" t="s">
        <v>473</v>
      </c>
      <c r="N179" s="294">
        <v>0.84299999999999997</v>
      </c>
      <c r="O179" s="295">
        <v>21000</v>
      </c>
      <c r="P179" s="216"/>
      <c r="Q179" s="216"/>
      <c r="R179" s="216"/>
      <c r="S179" s="216"/>
      <c r="T179" s="216"/>
      <c r="U179" s="216"/>
      <c r="V179" s="216"/>
      <c r="W179" s="216"/>
      <c r="X179" s="216"/>
      <c r="Y179" s="216"/>
      <c r="Z179" s="216"/>
      <c r="AA179" s="216"/>
      <c r="AB179" s="216"/>
      <c r="AC179" s="216"/>
      <c r="AD179" s="216"/>
      <c r="AE179" s="216"/>
      <c r="AF179" s="216"/>
    </row>
    <row r="180" spans="1:32">
      <c r="A180" s="216"/>
      <c r="B180" s="216"/>
      <c r="C180" s="216"/>
      <c r="D180" s="216"/>
      <c r="E180" s="216"/>
      <c r="F180" s="216"/>
      <c r="G180" s="216"/>
      <c r="H180" s="216"/>
      <c r="I180" s="216"/>
      <c r="J180" s="216"/>
      <c r="K180" s="293" t="s">
        <v>220</v>
      </c>
      <c r="L180" s="294" t="s">
        <v>474</v>
      </c>
      <c r="M180" s="294" t="s">
        <v>322</v>
      </c>
      <c r="N180" s="294">
        <v>0</v>
      </c>
      <c r="O180" s="295">
        <v>14000</v>
      </c>
      <c r="P180" s="216"/>
      <c r="Q180" s="216"/>
      <c r="R180" s="216"/>
      <c r="S180" s="216"/>
      <c r="T180" s="216"/>
      <c r="U180" s="216"/>
      <c r="V180" s="216"/>
      <c r="W180" s="216"/>
      <c r="X180" s="216"/>
      <c r="Y180" s="216"/>
      <c r="Z180" s="216"/>
      <c r="AA180" s="216"/>
      <c r="AB180" s="216"/>
      <c r="AC180" s="216"/>
      <c r="AD180" s="216"/>
      <c r="AE180" s="216"/>
      <c r="AF180" s="216"/>
    </row>
    <row r="181" spans="1:32">
      <c r="A181" s="216"/>
      <c r="B181" s="216"/>
      <c r="C181" s="216"/>
      <c r="D181" s="216"/>
      <c r="E181" s="216"/>
      <c r="F181" s="216"/>
      <c r="G181" s="216"/>
      <c r="H181" s="216"/>
      <c r="I181" s="216"/>
      <c r="J181" s="216"/>
      <c r="K181" s="293" t="s">
        <v>220</v>
      </c>
      <c r="L181" s="294" t="s">
        <v>475</v>
      </c>
      <c r="M181" s="294" t="s">
        <v>307</v>
      </c>
      <c r="N181" s="294">
        <v>0</v>
      </c>
      <c r="O181" s="295">
        <v>10000</v>
      </c>
      <c r="P181" s="216"/>
      <c r="Q181" s="216"/>
      <c r="R181" s="216"/>
      <c r="S181" s="216"/>
      <c r="T181" s="216"/>
      <c r="U181" s="216"/>
      <c r="V181" s="216"/>
      <c r="W181" s="216"/>
      <c r="X181" s="216"/>
      <c r="Y181" s="216"/>
      <c r="Z181" s="216"/>
      <c r="AA181" s="216"/>
      <c r="AB181" s="216"/>
      <c r="AC181" s="216"/>
      <c r="AD181" s="216"/>
      <c r="AE181" s="216"/>
      <c r="AF181" s="216"/>
    </row>
    <row r="182" spans="1:32">
      <c r="A182" s="216"/>
      <c r="B182" s="216"/>
      <c r="C182" s="216"/>
      <c r="D182" s="216"/>
      <c r="E182" s="216"/>
      <c r="F182" s="216"/>
      <c r="G182" s="216"/>
      <c r="H182" s="216"/>
      <c r="I182" s="216"/>
      <c r="J182" s="216"/>
      <c r="K182" s="293" t="s">
        <v>220</v>
      </c>
      <c r="L182" s="294" t="s">
        <v>476</v>
      </c>
      <c r="M182" s="294" t="s">
        <v>473</v>
      </c>
      <c r="N182" s="294">
        <v>0.74099999999999999</v>
      </c>
      <c r="O182" s="295">
        <v>63000</v>
      </c>
      <c r="P182" s="216"/>
      <c r="Q182" s="216"/>
      <c r="R182" s="216"/>
      <c r="S182" s="216"/>
      <c r="T182" s="216"/>
      <c r="U182" s="216"/>
      <c r="V182" s="216"/>
      <c r="W182" s="216"/>
      <c r="X182" s="216"/>
      <c r="Y182" s="216"/>
      <c r="Z182" s="216"/>
      <c r="AA182" s="216"/>
      <c r="AB182" s="216"/>
      <c r="AC182" s="216"/>
      <c r="AD182" s="216"/>
      <c r="AE182" s="216"/>
      <c r="AF182" s="216"/>
    </row>
    <row r="183" spans="1:32">
      <c r="A183" s="216"/>
      <c r="B183" s="216"/>
      <c r="C183" s="216"/>
      <c r="D183" s="216"/>
      <c r="E183" s="216"/>
      <c r="F183" s="216"/>
      <c r="G183" s="216"/>
      <c r="H183" s="216"/>
      <c r="I183" s="216"/>
      <c r="J183" s="216"/>
      <c r="K183" s="293" t="s">
        <v>220</v>
      </c>
      <c r="L183" s="294" t="s">
        <v>477</v>
      </c>
      <c r="M183" s="294" t="s">
        <v>318</v>
      </c>
      <c r="N183" s="294">
        <v>0.56000000000000005</v>
      </c>
      <c r="O183" s="295">
        <v>10000</v>
      </c>
      <c r="P183" s="216"/>
      <c r="Q183" s="216"/>
      <c r="R183" s="216"/>
      <c r="S183" s="216"/>
      <c r="T183" s="216"/>
      <c r="U183" s="216"/>
      <c r="V183" s="216"/>
      <c r="W183" s="216"/>
      <c r="X183" s="216"/>
      <c r="Y183" s="216"/>
      <c r="Z183" s="216"/>
      <c r="AA183" s="216"/>
      <c r="AB183" s="216"/>
      <c r="AC183" s="216"/>
      <c r="AD183" s="216"/>
      <c r="AE183" s="216"/>
      <c r="AF183" s="216"/>
    </row>
    <row r="184" spans="1:32">
      <c r="A184" s="216"/>
      <c r="B184" s="216"/>
      <c r="C184" s="216"/>
      <c r="D184" s="216"/>
      <c r="E184" s="216"/>
      <c r="F184" s="216"/>
      <c r="G184" s="216"/>
      <c r="H184" s="216"/>
      <c r="I184" s="216"/>
      <c r="J184" s="216"/>
      <c r="K184" s="293" t="s">
        <v>220</v>
      </c>
      <c r="L184" s="294" t="s">
        <v>478</v>
      </c>
      <c r="M184" s="294" t="s">
        <v>318</v>
      </c>
      <c r="N184" s="294">
        <v>0.54300000000000004</v>
      </c>
      <c r="O184" s="295">
        <v>310000</v>
      </c>
      <c r="P184" s="216"/>
      <c r="Q184" s="216"/>
      <c r="R184" s="216"/>
      <c r="S184" s="216"/>
      <c r="T184" s="216"/>
      <c r="U184" s="216"/>
      <c r="V184" s="216"/>
      <c r="W184" s="216"/>
      <c r="X184" s="216"/>
      <c r="Y184" s="216"/>
      <c r="Z184" s="216"/>
      <c r="AA184" s="216"/>
      <c r="AB184" s="216"/>
      <c r="AC184" s="216"/>
      <c r="AD184" s="216"/>
      <c r="AE184" s="216"/>
      <c r="AF184" s="216"/>
    </row>
    <row r="185" spans="1:32">
      <c r="A185" s="216"/>
      <c r="B185" s="216"/>
      <c r="C185" s="216"/>
      <c r="D185" s="216"/>
      <c r="E185" s="216"/>
      <c r="F185" s="216"/>
      <c r="G185" s="216"/>
      <c r="H185" s="216"/>
      <c r="I185" s="216"/>
      <c r="J185" s="216"/>
      <c r="K185" s="293" t="s">
        <v>220</v>
      </c>
      <c r="L185" s="294" t="s">
        <v>479</v>
      </c>
      <c r="M185" s="294" t="s">
        <v>318</v>
      </c>
      <c r="N185" s="294">
        <v>0.57699999999999996</v>
      </c>
      <c r="O185" s="295">
        <v>245000</v>
      </c>
      <c r="P185" s="216"/>
      <c r="Q185" s="216"/>
      <c r="R185" s="216"/>
      <c r="S185" s="216"/>
      <c r="T185" s="216"/>
      <c r="U185" s="216"/>
      <c r="V185" s="216"/>
      <c r="W185" s="216"/>
      <c r="X185" s="216"/>
      <c r="Y185" s="216"/>
      <c r="Z185" s="216"/>
      <c r="AA185" s="216"/>
      <c r="AB185" s="216"/>
      <c r="AC185" s="216"/>
      <c r="AD185" s="216"/>
      <c r="AE185" s="216"/>
      <c r="AF185" s="216"/>
    </row>
    <row r="186" spans="1:32">
      <c r="A186" s="216"/>
      <c r="B186" s="216"/>
      <c r="C186" s="216"/>
      <c r="D186" s="216"/>
      <c r="E186" s="216"/>
      <c r="F186" s="216"/>
      <c r="G186" s="216"/>
      <c r="H186" s="216"/>
      <c r="I186" s="216"/>
      <c r="J186" s="216"/>
      <c r="K186" s="293" t="s">
        <v>220</v>
      </c>
      <c r="L186" s="294" t="s">
        <v>480</v>
      </c>
      <c r="M186" s="294" t="s">
        <v>318</v>
      </c>
      <c r="N186" s="294">
        <v>0.57699999999999996</v>
      </c>
      <c r="O186" s="295">
        <v>0</v>
      </c>
      <c r="P186" s="216"/>
      <c r="Q186" s="216"/>
      <c r="R186" s="216"/>
      <c r="S186" s="216"/>
      <c r="T186" s="216"/>
      <c r="U186" s="216"/>
      <c r="V186" s="216"/>
      <c r="W186" s="216"/>
      <c r="X186" s="216"/>
      <c r="Y186" s="216"/>
      <c r="Z186" s="216"/>
      <c r="AA186" s="216"/>
      <c r="AB186" s="216"/>
      <c r="AC186" s="216"/>
      <c r="AD186" s="216"/>
      <c r="AE186" s="216"/>
      <c r="AF186" s="216"/>
    </row>
    <row r="187" spans="1:32">
      <c r="A187" s="216"/>
      <c r="B187" s="216"/>
      <c r="C187" s="216"/>
      <c r="D187" s="216"/>
      <c r="E187" s="216"/>
      <c r="F187" s="216"/>
      <c r="G187" s="216"/>
      <c r="H187" s="216"/>
      <c r="I187" s="216"/>
      <c r="J187" s="216"/>
      <c r="K187" s="293" t="s">
        <v>220</v>
      </c>
      <c r="L187" s="294" t="s">
        <v>481</v>
      </c>
      <c r="M187" s="294" t="s">
        <v>318</v>
      </c>
      <c r="N187" s="294">
        <v>0.56000000000000005</v>
      </c>
      <c r="O187" s="295">
        <v>385000</v>
      </c>
      <c r="P187" s="216"/>
      <c r="Q187" s="216"/>
      <c r="R187" s="216"/>
      <c r="S187" s="216"/>
      <c r="T187" s="216"/>
      <c r="U187" s="216"/>
      <c r="V187" s="216"/>
      <c r="W187" s="216"/>
      <c r="X187" s="216"/>
      <c r="Y187" s="216"/>
      <c r="Z187" s="216"/>
      <c r="AA187" s="216"/>
      <c r="AB187" s="216"/>
      <c r="AC187" s="216"/>
      <c r="AD187" s="216"/>
      <c r="AE187" s="216"/>
      <c r="AF187" s="216"/>
    </row>
    <row r="188" spans="1:32">
      <c r="A188" s="216"/>
      <c r="B188" s="216"/>
      <c r="C188" s="216"/>
      <c r="D188" s="216"/>
      <c r="E188" s="216"/>
      <c r="F188" s="216"/>
      <c r="G188" s="216"/>
      <c r="H188" s="216"/>
      <c r="I188" s="216"/>
      <c r="J188" s="216"/>
      <c r="K188" s="293" t="s">
        <v>220</v>
      </c>
      <c r="L188" s="294" t="s">
        <v>482</v>
      </c>
      <c r="M188" s="294" t="s">
        <v>473</v>
      </c>
      <c r="N188" s="294">
        <v>0.76400000000000001</v>
      </c>
      <c r="O188" s="295">
        <v>21000</v>
      </c>
      <c r="P188" s="216"/>
      <c r="Q188" s="216"/>
      <c r="R188" s="216"/>
      <c r="S188" s="216"/>
      <c r="T188" s="216"/>
      <c r="U188" s="216"/>
      <c r="V188" s="216"/>
      <c r="W188" s="216"/>
      <c r="X188" s="216"/>
      <c r="Y188" s="216"/>
      <c r="Z188" s="216"/>
      <c r="AA188" s="216"/>
      <c r="AB188" s="216"/>
      <c r="AC188" s="216"/>
      <c r="AD188" s="216"/>
      <c r="AE188" s="216"/>
      <c r="AF188" s="216"/>
    </row>
    <row r="189" spans="1:32">
      <c r="A189" s="216"/>
      <c r="B189" s="216"/>
      <c r="C189" s="216"/>
      <c r="D189" s="216"/>
      <c r="E189" s="216"/>
      <c r="F189" s="216"/>
      <c r="G189" s="216"/>
      <c r="H189" s="216"/>
      <c r="I189" s="216"/>
      <c r="J189" s="216"/>
      <c r="K189" s="293" t="s">
        <v>220</v>
      </c>
      <c r="L189" s="294" t="s">
        <v>483</v>
      </c>
      <c r="M189" s="294" t="s">
        <v>318</v>
      </c>
      <c r="N189" s="294">
        <v>0.46200000000000002</v>
      </c>
      <c r="O189" s="295">
        <v>201000</v>
      </c>
      <c r="P189" s="216"/>
      <c r="Q189" s="216"/>
      <c r="R189" s="216"/>
      <c r="S189" s="216"/>
      <c r="T189" s="216"/>
      <c r="U189" s="216"/>
      <c r="V189" s="216"/>
      <c r="W189" s="216"/>
      <c r="X189" s="216"/>
      <c r="Y189" s="216"/>
      <c r="Z189" s="216"/>
      <c r="AA189" s="216"/>
      <c r="AB189" s="216"/>
      <c r="AC189" s="216"/>
      <c r="AD189" s="216"/>
      <c r="AE189" s="216"/>
      <c r="AF189" s="216"/>
    </row>
    <row r="190" spans="1:32">
      <c r="A190" s="216"/>
      <c r="B190" s="216"/>
      <c r="C190" s="216"/>
      <c r="D190" s="216"/>
      <c r="E190" s="216"/>
      <c r="F190" s="216"/>
      <c r="G190" s="216"/>
      <c r="H190" s="216"/>
      <c r="I190" s="216"/>
      <c r="J190" s="216"/>
      <c r="K190" s="293" t="s">
        <v>220</v>
      </c>
      <c r="L190" s="294" t="s">
        <v>484</v>
      </c>
      <c r="M190" s="294" t="s">
        <v>311</v>
      </c>
      <c r="N190" s="294">
        <v>1.27</v>
      </c>
      <c r="O190" s="295">
        <v>240000</v>
      </c>
      <c r="P190" s="216"/>
      <c r="Q190" s="216"/>
      <c r="R190" s="216"/>
      <c r="S190" s="216"/>
      <c r="T190" s="216"/>
      <c r="U190" s="216"/>
      <c r="V190" s="216"/>
      <c r="W190" s="216"/>
      <c r="X190" s="216"/>
      <c r="Y190" s="216"/>
      <c r="Z190" s="216"/>
      <c r="AA190" s="216"/>
      <c r="AB190" s="216"/>
      <c r="AC190" s="216"/>
      <c r="AD190" s="216"/>
      <c r="AE190" s="216"/>
      <c r="AF190" s="216"/>
    </row>
    <row r="191" spans="1:32">
      <c r="A191" s="216"/>
      <c r="B191" s="216"/>
      <c r="C191" s="216"/>
      <c r="D191" s="216"/>
      <c r="E191" s="216"/>
      <c r="F191" s="216"/>
      <c r="G191" s="216"/>
      <c r="H191" s="216"/>
      <c r="I191" s="216"/>
      <c r="J191" s="216"/>
      <c r="K191" s="293" t="s">
        <v>220</v>
      </c>
      <c r="L191" s="294" t="s">
        <v>485</v>
      </c>
      <c r="M191" s="294" t="s">
        <v>311</v>
      </c>
      <c r="N191" s="294">
        <v>0.97</v>
      </c>
      <c r="O191" s="295">
        <v>398000</v>
      </c>
      <c r="P191" s="216"/>
      <c r="Q191" s="216"/>
      <c r="R191" s="216"/>
      <c r="S191" s="216"/>
      <c r="T191" s="216"/>
      <c r="U191" s="216"/>
      <c r="V191" s="216"/>
      <c r="W191" s="216"/>
      <c r="X191" s="216"/>
      <c r="Y191" s="216"/>
      <c r="Z191" s="216"/>
      <c r="AA191" s="216"/>
      <c r="AB191" s="216"/>
      <c r="AC191" s="216"/>
      <c r="AD191" s="216"/>
      <c r="AE191" s="216"/>
      <c r="AF191" s="216"/>
    </row>
    <row r="192" spans="1:32">
      <c r="A192" s="216"/>
      <c r="B192" s="216"/>
      <c r="C192" s="216"/>
      <c r="D192" s="216"/>
      <c r="E192" s="216"/>
      <c r="F192" s="216"/>
      <c r="G192" s="216"/>
      <c r="H192" s="216"/>
      <c r="I192" s="216"/>
      <c r="J192" s="216"/>
      <c r="K192" s="293" t="s">
        <v>220</v>
      </c>
      <c r="L192" s="294" t="s">
        <v>486</v>
      </c>
      <c r="M192" s="294" t="s">
        <v>311</v>
      </c>
      <c r="N192" s="294">
        <v>0.94199999999999995</v>
      </c>
      <c r="O192" s="295">
        <v>454000</v>
      </c>
      <c r="P192" s="216"/>
      <c r="Q192" s="216"/>
      <c r="R192" s="216"/>
      <c r="S192" s="216"/>
      <c r="T192" s="216"/>
      <c r="U192" s="216"/>
      <c r="V192" s="216"/>
      <c r="W192" s="216"/>
      <c r="X192" s="216"/>
      <c r="Y192" s="216"/>
      <c r="Z192" s="216"/>
      <c r="AA192" s="216"/>
      <c r="AB192" s="216"/>
      <c r="AC192" s="216"/>
      <c r="AD192" s="216"/>
      <c r="AE192" s="216"/>
      <c r="AF192" s="216"/>
    </row>
    <row r="193" spans="1:32">
      <c r="A193" s="216"/>
      <c r="B193" s="216"/>
      <c r="C193" s="216"/>
      <c r="D193" s="216"/>
      <c r="E193" s="216"/>
      <c r="F193" s="216"/>
      <c r="G193" s="216"/>
      <c r="H193" s="216"/>
      <c r="I193" s="216"/>
      <c r="J193" s="216"/>
      <c r="K193" s="293" t="s">
        <v>220</v>
      </c>
      <c r="L193" s="294" t="s">
        <v>487</v>
      </c>
      <c r="M193" s="294" t="s">
        <v>322</v>
      </c>
      <c r="N193" s="294">
        <v>0</v>
      </c>
      <c r="O193" s="295">
        <v>55000</v>
      </c>
      <c r="P193" s="216"/>
      <c r="Q193" s="216"/>
      <c r="R193" s="216"/>
      <c r="S193" s="216"/>
      <c r="T193" s="216"/>
      <c r="U193" s="216"/>
      <c r="V193" s="216"/>
      <c r="W193" s="216"/>
      <c r="X193" s="216"/>
      <c r="Y193" s="216"/>
      <c r="Z193" s="216"/>
      <c r="AA193" s="216"/>
      <c r="AB193" s="216"/>
      <c r="AC193" s="216"/>
      <c r="AD193" s="216"/>
      <c r="AE193" s="216"/>
      <c r="AF193" s="216"/>
    </row>
    <row r="194" spans="1:32">
      <c r="A194" s="216"/>
      <c r="B194" s="216"/>
      <c r="C194" s="216"/>
      <c r="D194" s="216"/>
      <c r="E194" s="216"/>
      <c r="F194" s="216"/>
      <c r="G194" s="216"/>
      <c r="H194" s="216"/>
      <c r="I194" s="216"/>
      <c r="J194" s="216"/>
      <c r="K194" s="293" t="s">
        <v>220</v>
      </c>
      <c r="L194" s="294" t="s">
        <v>488</v>
      </c>
      <c r="M194" s="294" t="s">
        <v>318</v>
      </c>
      <c r="N194" s="294">
        <v>0.63700000000000001</v>
      </c>
      <c r="O194" s="295">
        <v>113000</v>
      </c>
      <c r="P194" s="216"/>
      <c r="Q194" s="216"/>
      <c r="R194" s="216"/>
      <c r="S194" s="216"/>
      <c r="T194" s="216"/>
      <c r="U194" s="216"/>
      <c r="V194" s="216"/>
      <c r="W194" s="216"/>
      <c r="X194" s="216"/>
      <c r="Y194" s="216"/>
      <c r="Z194" s="216"/>
      <c r="AA194" s="216"/>
      <c r="AB194" s="216"/>
      <c r="AC194" s="216"/>
      <c r="AD194" s="216"/>
      <c r="AE194" s="216"/>
      <c r="AF194" s="216"/>
    </row>
    <row r="195" spans="1:32">
      <c r="A195" s="216"/>
      <c r="B195" s="216"/>
      <c r="C195" s="216"/>
      <c r="D195" s="216"/>
      <c r="E195" s="216"/>
      <c r="F195" s="216"/>
      <c r="G195" s="216"/>
      <c r="H195" s="216"/>
      <c r="I195" s="216"/>
      <c r="J195" s="216"/>
      <c r="K195" s="293" t="s">
        <v>220</v>
      </c>
      <c r="L195" s="294" t="s">
        <v>489</v>
      </c>
      <c r="M195" s="294" t="s">
        <v>473</v>
      </c>
      <c r="N195" s="294">
        <v>0.81499999999999995</v>
      </c>
      <c r="O195" s="295">
        <v>70000</v>
      </c>
      <c r="P195" s="216"/>
      <c r="Q195" s="216"/>
      <c r="R195" s="216"/>
      <c r="S195" s="216"/>
      <c r="T195" s="216"/>
      <c r="U195" s="216"/>
      <c r="V195" s="216"/>
      <c r="W195" s="216"/>
      <c r="X195" s="216"/>
      <c r="Y195" s="216"/>
      <c r="Z195" s="216"/>
      <c r="AA195" s="216"/>
      <c r="AB195" s="216"/>
      <c r="AC195" s="216"/>
      <c r="AD195" s="216"/>
      <c r="AE195" s="216"/>
      <c r="AF195" s="216"/>
    </row>
    <row r="196" spans="1:32">
      <c r="A196" s="216"/>
      <c r="B196" s="216"/>
      <c r="C196" s="216"/>
      <c r="D196" s="216"/>
      <c r="E196" s="216"/>
      <c r="F196" s="216"/>
      <c r="G196" s="216"/>
      <c r="H196" s="216"/>
      <c r="I196" s="216"/>
      <c r="J196" s="216"/>
      <c r="K196" s="293" t="s">
        <v>220</v>
      </c>
      <c r="L196" s="294" t="s">
        <v>490</v>
      </c>
      <c r="M196" s="294" t="s">
        <v>318</v>
      </c>
      <c r="N196" s="294">
        <v>0.57699999999999996</v>
      </c>
      <c r="O196" s="295">
        <v>330000</v>
      </c>
      <c r="P196" s="216"/>
      <c r="Q196" s="216"/>
      <c r="R196" s="216"/>
      <c r="S196" s="216"/>
      <c r="T196" s="216"/>
      <c r="U196" s="216"/>
      <c r="V196" s="216"/>
      <c r="W196" s="216"/>
      <c r="X196" s="216"/>
      <c r="Y196" s="216"/>
      <c r="Z196" s="216"/>
      <c r="AA196" s="216"/>
      <c r="AB196" s="216"/>
      <c r="AC196" s="216"/>
      <c r="AD196" s="216"/>
      <c r="AE196" s="216"/>
      <c r="AF196" s="216"/>
    </row>
    <row r="197" spans="1:32">
      <c r="A197" s="216"/>
      <c r="B197" s="216"/>
      <c r="C197" s="216"/>
      <c r="D197" s="216"/>
      <c r="E197" s="216"/>
      <c r="F197" s="216"/>
      <c r="G197" s="216"/>
      <c r="H197" s="216"/>
      <c r="I197" s="216"/>
      <c r="J197" s="216"/>
      <c r="K197" s="293" t="s">
        <v>220</v>
      </c>
      <c r="L197" s="294" t="s">
        <v>491</v>
      </c>
      <c r="M197" s="294" t="s">
        <v>318</v>
      </c>
      <c r="N197" s="294">
        <v>0.38500000000000001</v>
      </c>
      <c r="O197" s="295">
        <v>314000</v>
      </c>
      <c r="P197" s="216"/>
      <c r="Q197" s="216"/>
      <c r="R197" s="216"/>
      <c r="S197" s="216"/>
      <c r="T197" s="216"/>
      <c r="U197" s="216"/>
      <c r="V197" s="216"/>
      <c r="W197" s="216"/>
      <c r="X197" s="216"/>
      <c r="Y197" s="216"/>
      <c r="Z197" s="216"/>
      <c r="AA197" s="216"/>
      <c r="AB197" s="216"/>
      <c r="AC197" s="216"/>
      <c r="AD197" s="216"/>
      <c r="AE197" s="216"/>
      <c r="AF197" s="216"/>
    </row>
    <row r="198" spans="1:32">
      <c r="A198" s="216"/>
      <c r="B198" s="216"/>
      <c r="C198" s="216"/>
      <c r="D198" s="216"/>
      <c r="E198" s="216"/>
      <c r="F198" s="216"/>
      <c r="G198" s="216"/>
      <c r="H198" s="216"/>
      <c r="I198" s="216"/>
      <c r="J198" s="216"/>
      <c r="K198" s="293" t="s">
        <v>220</v>
      </c>
      <c r="L198" s="294" t="s">
        <v>492</v>
      </c>
      <c r="M198" s="294" t="s">
        <v>318</v>
      </c>
      <c r="N198" s="294">
        <v>0.56000000000000005</v>
      </c>
      <c r="O198" s="295">
        <v>68000</v>
      </c>
      <c r="P198" s="216"/>
      <c r="Q198" s="216"/>
      <c r="R198" s="216"/>
      <c r="S198" s="216"/>
      <c r="T198" s="216"/>
      <c r="U198" s="216"/>
      <c r="V198" s="216"/>
      <c r="W198" s="216"/>
      <c r="X198" s="216"/>
      <c r="Y198" s="216"/>
      <c r="Z198" s="216"/>
      <c r="AA198" s="216"/>
      <c r="AB198" s="216"/>
      <c r="AC198" s="216"/>
      <c r="AD198" s="216"/>
      <c r="AE198" s="216"/>
      <c r="AF198" s="216"/>
    </row>
    <row r="199" spans="1:32">
      <c r="A199" s="216"/>
      <c r="B199" s="216"/>
      <c r="C199" s="216"/>
      <c r="D199" s="216"/>
      <c r="E199" s="216"/>
      <c r="F199" s="216"/>
      <c r="G199" s="216"/>
      <c r="H199" s="216"/>
      <c r="I199" s="216"/>
      <c r="J199" s="216"/>
      <c r="K199" s="293" t="s">
        <v>220</v>
      </c>
      <c r="L199" s="294" t="s">
        <v>493</v>
      </c>
      <c r="M199" s="294" t="s">
        <v>318</v>
      </c>
      <c r="N199" s="294">
        <v>0.63700000000000001</v>
      </c>
      <c r="O199" s="295">
        <v>228000</v>
      </c>
      <c r="P199" s="216"/>
      <c r="Q199" s="216"/>
      <c r="R199" s="216"/>
      <c r="S199" s="216"/>
      <c r="T199" s="216"/>
      <c r="U199" s="216"/>
      <c r="V199" s="216"/>
      <c r="W199" s="216"/>
      <c r="X199" s="216"/>
      <c r="Y199" s="216"/>
      <c r="Z199" s="216"/>
      <c r="AA199" s="216"/>
      <c r="AB199" s="216"/>
      <c r="AC199" s="216"/>
      <c r="AD199" s="216"/>
      <c r="AE199" s="216"/>
      <c r="AF199" s="216"/>
    </row>
    <row r="200" spans="1:32">
      <c r="A200" s="216"/>
      <c r="B200" s="216"/>
      <c r="C200" s="216"/>
      <c r="D200" s="216"/>
      <c r="E200" s="216"/>
      <c r="F200" s="216"/>
      <c r="G200" s="216"/>
      <c r="H200" s="216"/>
      <c r="I200" s="216"/>
      <c r="J200" s="216"/>
      <c r="K200" s="293" t="s">
        <v>220</v>
      </c>
      <c r="L200" s="294" t="s">
        <v>494</v>
      </c>
      <c r="M200" s="294" t="s">
        <v>318</v>
      </c>
      <c r="N200" s="294">
        <v>0.63700000000000001</v>
      </c>
      <c r="O200" s="295">
        <v>233000</v>
      </c>
      <c r="P200" s="216"/>
      <c r="Q200" s="216"/>
      <c r="R200" s="216"/>
      <c r="S200" s="216"/>
      <c r="T200" s="216"/>
      <c r="U200" s="216"/>
      <c r="V200" s="216"/>
      <c r="W200" s="216"/>
      <c r="X200" s="216"/>
      <c r="Y200" s="216"/>
      <c r="Z200" s="216"/>
      <c r="AA200" s="216"/>
      <c r="AB200" s="216"/>
      <c r="AC200" s="216"/>
      <c r="AD200" s="216"/>
      <c r="AE200" s="216"/>
      <c r="AF200" s="216"/>
    </row>
    <row r="201" spans="1:32">
      <c r="A201" s="216"/>
      <c r="B201" s="216"/>
      <c r="C201" s="216"/>
      <c r="D201" s="216"/>
      <c r="E201" s="216"/>
      <c r="F201" s="216"/>
      <c r="G201" s="216"/>
      <c r="H201" s="216"/>
      <c r="I201" s="216"/>
      <c r="J201" s="216"/>
      <c r="K201" s="293" t="s">
        <v>220</v>
      </c>
      <c r="L201" s="294" t="s">
        <v>495</v>
      </c>
      <c r="M201" s="294" t="s">
        <v>318</v>
      </c>
      <c r="N201" s="294">
        <v>0.63700000000000001</v>
      </c>
      <c r="O201" s="295">
        <v>124000</v>
      </c>
      <c r="P201" s="216"/>
      <c r="Q201" s="216"/>
      <c r="R201" s="216"/>
      <c r="S201" s="216"/>
      <c r="T201" s="216"/>
      <c r="U201" s="216"/>
      <c r="V201" s="216"/>
      <c r="W201" s="216"/>
      <c r="X201" s="216"/>
      <c r="Y201" s="216"/>
      <c r="Z201" s="216"/>
      <c r="AA201" s="216"/>
      <c r="AB201" s="216"/>
      <c r="AC201" s="216"/>
      <c r="AD201" s="216"/>
      <c r="AE201" s="216"/>
      <c r="AF201" s="216"/>
    </row>
    <row r="202" spans="1:32">
      <c r="A202" s="216"/>
      <c r="B202" s="216"/>
      <c r="C202" s="216"/>
      <c r="D202" s="216"/>
      <c r="E202" s="216"/>
      <c r="F202" s="216"/>
      <c r="G202" s="216"/>
      <c r="H202" s="216"/>
      <c r="I202" s="216"/>
      <c r="J202" s="216"/>
      <c r="K202" s="293" t="s">
        <v>220</v>
      </c>
      <c r="L202" s="294" t="s">
        <v>496</v>
      </c>
      <c r="M202" s="294" t="s">
        <v>318</v>
      </c>
      <c r="N202" s="294">
        <v>0.54200000000000004</v>
      </c>
      <c r="O202" s="295">
        <v>280000</v>
      </c>
      <c r="P202" s="216"/>
      <c r="Q202" s="216"/>
      <c r="R202" s="216"/>
      <c r="S202" s="216"/>
      <c r="T202" s="216"/>
      <c r="U202" s="216"/>
      <c r="V202" s="216"/>
      <c r="W202" s="216"/>
      <c r="X202" s="216"/>
      <c r="Y202" s="216"/>
      <c r="Z202" s="216"/>
      <c r="AA202" s="216"/>
      <c r="AB202" s="216"/>
      <c r="AC202" s="216"/>
      <c r="AD202" s="216"/>
      <c r="AE202" s="216"/>
      <c r="AF202" s="216"/>
    </row>
    <row r="203" spans="1:32">
      <c r="A203" s="216"/>
      <c r="B203" s="216"/>
      <c r="C203" s="216"/>
      <c r="D203" s="216"/>
      <c r="E203" s="216"/>
      <c r="F203" s="216"/>
      <c r="G203" s="216"/>
      <c r="H203" s="216"/>
      <c r="I203" s="216"/>
      <c r="J203" s="216"/>
      <c r="K203" s="293" t="s">
        <v>220</v>
      </c>
      <c r="L203" s="294" t="s">
        <v>497</v>
      </c>
      <c r="M203" s="294" t="s">
        <v>473</v>
      </c>
      <c r="N203" s="294">
        <v>0.873</v>
      </c>
      <c r="O203" s="295">
        <v>40000</v>
      </c>
      <c r="P203" s="216"/>
      <c r="Q203" s="216"/>
      <c r="R203" s="216"/>
      <c r="S203" s="216"/>
      <c r="T203" s="216"/>
      <c r="U203" s="216"/>
      <c r="V203" s="216"/>
      <c r="W203" s="216"/>
      <c r="X203" s="216"/>
      <c r="Y203" s="216"/>
      <c r="Z203" s="216"/>
      <c r="AA203" s="216"/>
      <c r="AB203" s="216"/>
      <c r="AC203" s="216"/>
      <c r="AD203" s="216"/>
      <c r="AE203" s="216"/>
      <c r="AF203" s="216"/>
    </row>
    <row r="204" spans="1:32">
      <c r="A204" s="216"/>
      <c r="B204" s="216"/>
      <c r="C204" s="216"/>
      <c r="D204" s="216"/>
      <c r="E204" s="216"/>
      <c r="F204" s="216"/>
      <c r="G204" s="216"/>
      <c r="H204" s="216"/>
      <c r="I204" s="216"/>
      <c r="J204" s="216"/>
      <c r="K204" s="293" t="s">
        <v>220</v>
      </c>
      <c r="L204" s="294" t="s">
        <v>498</v>
      </c>
      <c r="M204" s="294" t="s">
        <v>318</v>
      </c>
      <c r="N204" s="294">
        <v>0.57699999999999996</v>
      </c>
      <c r="O204" s="295">
        <v>37000</v>
      </c>
      <c r="P204" s="216"/>
      <c r="Q204" s="216"/>
      <c r="R204" s="216"/>
      <c r="S204" s="216"/>
      <c r="T204" s="216"/>
      <c r="U204" s="216"/>
      <c r="V204" s="216"/>
      <c r="W204" s="216"/>
      <c r="X204" s="216"/>
      <c r="Y204" s="216"/>
      <c r="Z204" s="216"/>
      <c r="AA204" s="216"/>
      <c r="AB204" s="216"/>
      <c r="AC204" s="216"/>
      <c r="AD204" s="216"/>
      <c r="AE204" s="216"/>
      <c r="AF204" s="216"/>
    </row>
    <row r="205" spans="1:32">
      <c r="A205" s="216"/>
      <c r="B205" s="216"/>
      <c r="C205" s="216"/>
      <c r="D205" s="216"/>
      <c r="E205" s="216"/>
      <c r="F205" s="216"/>
      <c r="G205" s="216"/>
      <c r="H205" s="216"/>
      <c r="I205" s="216"/>
      <c r="J205" s="216"/>
      <c r="K205" s="293" t="s">
        <v>220</v>
      </c>
      <c r="L205" s="294" t="s">
        <v>499</v>
      </c>
      <c r="M205" s="294" t="s">
        <v>473</v>
      </c>
      <c r="N205" s="294">
        <v>0.71699999999999997</v>
      </c>
      <c r="O205" s="295">
        <v>323000</v>
      </c>
      <c r="P205" s="216"/>
      <c r="Q205" s="216"/>
      <c r="R205" s="216"/>
      <c r="S205" s="216"/>
      <c r="T205" s="216"/>
      <c r="U205" s="216"/>
      <c r="V205" s="216"/>
      <c r="W205" s="216"/>
      <c r="X205" s="216"/>
      <c r="Y205" s="216"/>
      <c r="Z205" s="216"/>
      <c r="AA205" s="216"/>
      <c r="AB205" s="216"/>
      <c r="AC205" s="216"/>
      <c r="AD205" s="216"/>
      <c r="AE205" s="216"/>
      <c r="AF205" s="216"/>
    </row>
    <row r="206" spans="1:32">
      <c r="A206" s="216"/>
      <c r="B206" s="216"/>
      <c r="C206" s="216"/>
      <c r="D206" s="216"/>
      <c r="E206" s="216"/>
      <c r="F206" s="216"/>
      <c r="G206" s="216"/>
      <c r="H206" s="216"/>
      <c r="I206" s="216"/>
      <c r="J206" s="216"/>
      <c r="K206" s="293" t="s">
        <v>220</v>
      </c>
      <c r="L206" s="294" t="s">
        <v>500</v>
      </c>
      <c r="M206" s="294" t="s">
        <v>322</v>
      </c>
      <c r="N206" s="294">
        <v>0</v>
      </c>
      <c r="O206" s="295">
        <v>89000</v>
      </c>
      <c r="P206" s="216"/>
      <c r="Q206" s="216"/>
      <c r="R206" s="216"/>
      <c r="S206" s="216"/>
      <c r="T206" s="216"/>
      <c r="U206" s="216"/>
      <c r="V206" s="216"/>
      <c r="W206" s="216"/>
      <c r="X206" s="216"/>
      <c r="Y206" s="216"/>
      <c r="Z206" s="216"/>
      <c r="AA206" s="216"/>
      <c r="AB206" s="216"/>
      <c r="AC206" s="216"/>
      <c r="AD206" s="216"/>
      <c r="AE206" s="216"/>
      <c r="AF206" s="216"/>
    </row>
    <row r="207" spans="1:32">
      <c r="A207" s="216"/>
      <c r="B207" s="216"/>
      <c r="C207" s="216"/>
      <c r="D207" s="216"/>
      <c r="E207" s="216"/>
      <c r="F207" s="216"/>
      <c r="G207" s="216"/>
      <c r="H207" s="216"/>
      <c r="I207" s="216"/>
      <c r="J207" s="216"/>
      <c r="K207" s="293" t="s">
        <v>220</v>
      </c>
      <c r="L207" s="294" t="s">
        <v>501</v>
      </c>
      <c r="M207" s="294" t="s">
        <v>318</v>
      </c>
      <c r="N207" s="294">
        <v>0.57699999999999996</v>
      </c>
      <c r="O207" s="295">
        <v>106000</v>
      </c>
      <c r="P207" s="216"/>
      <c r="Q207" s="216"/>
      <c r="R207" s="216"/>
      <c r="S207" s="216"/>
      <c r="T207" s="216"/>
      <c r="U207" s="216"/>
      <c r="V207" s="216"/>
      <c r="W207" s="216"/>
      <c r="X207" s="216"/>
      <c r="Y207" s="216"/>
      <c r="Z207" s="216"/>
      <c r="AA207" s="216"/>
      <c r="AB207" s="216"/>
      <c r="AC207" s="216"/>
      <c r="AD207" s="216"/>
      <c r="AE207" s="216"/>
      <c r="AF207" s="216"/>
    </row>
    <row r="208" spans="1:32">
      <c r="A208" s="216"/>
      <c r="B208" s="216"/>
      <c r="C208" s="216"/>
      <c r="D208" s="216"/>
      <c r="E208" s="216"/>
      <c r="F208" s="216"/>
      <c r="G208" s="216"/>
      <c r="H208" s="216"/>
      <c r="I208" s="216"/>
      <c r="J208" s="216"/>
      <c r="K208" s="293" t="s">
        <v>220</v>
      </c>
      <c r="L208" s="294" t="s">
        <v>502</v>
      </c>
      <c r="M208" s="294" t="s">
        <v>311</v>
      </c>
      <c r="N208" s="294">
        <v>1.1970000000000001</v>
      </c>
      <c r="O208" s="295">
        <v>0</v>
      </c>
      <c r="P208" s="216"/>
      <c r="Q208" s="216"/>
      <c r="R208" s="216"/>
      <c r="S208" s="216"/>
      <c r="T208" s="216"/>
      <c r="U208" s="216"/>
      <c r="V208" s="216"/>
      <c r="W208" s="216"/>
      <c r="X208" s="216"/>
      <c r="Y208" s="216"/>
      <c r="Z208" s="216"/>
      <c r="AA208" s="216"/>
      <c r="AB208" s="216"/>
      <c r="AC208" s="216"/>
      <c r="AD208" s="216"/>
      <c r="AE208" s="216"/>
      <c r="AF208" s="216"/>
    </row>
    <row r="209" spans="1:32">
      <c r="A209" s="216"/>
      <c r="B209" s="216"/>
      <c r="C209" s="216"/>
      <c r="D209" s="216"/>
      <c r="E209" s="216"/>
      <c r="F209" s="216"/>
      <c r="G209" s="216"/>
      <c r="H209" s="216"/>
      <c r="I209" s="216"/>
      <c r="J209" s="216"/>
      <c r="K209" s="293" t="s">
        <v>220</v>
      </c>
      <c r="L209" s="294" t="s">
        <v>503</v>
      </c>
      <c r="M209" s="294" t="s">
        <v>318</v>
      </c>
      <c r="N209" s="294">
        <v>0.56000000000000005</v>
      </c>
      <c r="O209" s="295">
        <v>116000</v>
      </c>
      <c r="P209" s="216"/>
      <c r="Q209" s="216"/>
      <c r="R209" s="216"/>
      <c r="S209" s="216"/>
      <c r="T209" s="216"/>
      <c r="U209" s="216"/>
      <c r="V209" s="216"/>
      <c r="W209" s="216"/>
      <c r="X209" s="216"/>
      <c r="Y209" s="216"/>
      <c r="Z209" s="216"/>
      <c r="AA209" s="216"/>
      <c r="AB209" s="216"/>
      <c r="AC209" s="216"/>
      <c r="AD209" s="216"/>
      <c r="AE209" s="216"/>
      <c r="AF209" s="216"/>
    </row>
    <row r="210" spans="1:32">
      <c r="A210" s="216"/>
      <c r="B210" s="216"/>
      <c r="C210" s="216"/>
      <c r="D210" s="216"/>
      <c r="E210" s="216"/>
      <c r="F210" s="216"/>
      <c r="G210" s="216"/>
      <c r="H210" s="216"/>
      <c r="I210" s="216"/>
      <c r="J210" s="216"/>
      <c r="K210" s="293" t="s">
        <v>247</v>
      </c>
      <c r="L210" s="294" t="s">
        <v>504</v>
      </c>
      <c r="M210" s="294" t="s">
        <v>318</v>
      </c>
      <c r="N210" s="294">
        <v>0.63700000000000001</v>
      </c>
      <c r="O210" s="295">
        <v>74000</v>
      </c>
      <c r="P210" s="216"/>
      <c r="Q210" s="216"/>
      <c r="R210" s="216"/>
      <c r="S210" s="216"/>
      <c r="T210" s="216"/>
      <c r="U210" s="216"/>
      <c r="V210" s="216"/>
      <c r="W210" s="216"/>
      <c r="X210" s="216"/>
      <c r="Y210" s="216"/>
      <c r="Z210" s="216"/>
      <c r="AA210" s="216"/>
      <c r="AB210" s="216"/>
      <c r="AC210" s="216"/>
      <c r="AD210" s="216"/>
      <c r="AE210" s="216"/>
      <c r="AF210" s="216"/>
    </row>
    <row r="211" spans="1:32">
      <c r="A211" s="216"/>
      <c r="B211" s="216"/>
      <c r="C211" s="216"/>
      <c r="D211" s="216"/>
      <c r="E211" s="216"/>
      <c r="F211" s="216"/>
      <c r="G211" s="216"/>
      <c r="H211" s="216"/>
      <c r="I211" s="216"/>
      <c r="J211" s="216"/>
      <c r="K211" s="293" t="s">
        <v>247</v>
      </c>
      <c r="L211" s="294" t="s">
        <v>505</v>
      </c>
      <c r="M211" s="294" t="s">
        <v>318</v>
      </c>
      <c r="N211" s="294">
        <v>0.61599999999999999</v>
      </c>
      <c r="O211" s="295">
        <v>105000</v>
      </c>
      <c r="P211" s="216"/>
      <c r="Q211" s="216"/>
      <c r="R211" s="216"/>
      <c r="S211" s="216"/>
      <c r="T211" s="216"/>
      <c r="U211" s="216"/>
      <c r="V211" s="216"/>
      <c r="W211" s="216"/>
      <c r="X211" s="216"/>
      <c r="Y211" s="216"/>
      <c r="Z211" s="216"/>
      <c r="AA211" s="216"/>
      <c r="AB211" s="216"/>
      <c r="AC211" s="216"/>
      <c r="AD211" s="216"/>
      <c r="AE211" s="216"/>
      <c r="AF211" s="216"/>
    </row>
    <row r="212" spans="1:32">
      <c r="A212" s="216"/>
      <c r="B212" s="216"/>
      <c r="C212" s="216"/>
      <c r="D212" s="216"/>
      <c r="E212" s="216"/>
      <c r="F212" s="216"/>
      <c r="G212" s="216"/>
      <c r="H212" s="216"/>
      <c r="I212" s="216"/>
      <c r="J212" s="216"/>
      <c r="K212" s="293" t="s">
        <v>247</v>
      </c>
      <c r="L212" s="294" t="s">
        <v>506</v>
      </c>
      <c r="M212" s="294" t="s">
        <v>318</v>
      </c>
      <c r="N212" s="294">
        <v>0.36899999999999999</v>
      </c>
      <c r="O212" s="295">
        <v>450000</v>
      </c>
      <c r="P212" s="216"/>
      <c r="Q212" s="216"/>
      <c r="R212" s="216"/>
      <c r="S212" s="216"/>
      <c r="T212" s="216"/>
      <c r="U212" s="216"/>
      <c r="V212" s="216"/>
      <c r="W212" s="216"/>
      <c r="X212" s="216"/>
      <c r="Y212" s="216"/>
      <c r="Z212" s="216"/>
      <c r="AA212" s="216"/>
      <c r="AB212" s="216"/>
      <c r="AC212" s="216"/>
      <c r="AD212" s="216"/>
      <c r="AE212" s="216"/>
      <c r="AF212" s="216"/>
    </row>
    <row r="213" spans="1:32">
      <c r="A213" s="216"/>
      <c r="B213" s="216"/>
      <c r="C213" s="216"/>
      <c r="D213" s="216"/>
      <c r="E213" s="216"/>
      <c r="F213" s="216"/>
      <c r="G213" s="216"/>
      <c r="H213" s="216"/>
      <c r="I213" s="216"/>
      <c r="J213" s="216"/>
      <c r="K213" s="293" t="s">
        <v>247</v>
      </c>
      <c r="L213" s="294" t="s">
        <v>507</v>
      </c>
      <c r="M213" s="294" t="s">
        <v>318</v>
      </c>
      <c r="N213" s="294">
        <v>0.61599999999999999</v>
      </c>
      <c r="O213" s="295">
        <v>120000</v>
      </c>
      <c r="P213" s="216"/>
      <c r="Q213" s="216"/>
      <c r="R213" s="216"/>
      <c r="S213" s="216"/>
      <c r="T213" s="216"/>
      <c r="U213" s="216"/>
      <c r="V213" s="216"/>
      <c r="W213" s="216"/>
      <c r="X213" s="216"/>
      <c r="Y213" s="216"/>
      <c r="Z213" s="216"/>
      <c r="AA213" s="216"/>
      <c r="AB213" s="216"/>
      <c r="AC213" s="216"/>
      <c r="AD213" s="216"/>
      <c r="AE213" s="216"/>
      <c r="AF213" s="216"/>
    </row>
    <row r="214" spans="1:32">
      <c r="A214" s="216"/>
      <c r="B214" s="216"/>
      <c r="C214" s="216"/>
      <c r="D214" s="216"/>
      <c r="E214" s="216"/>
      <c r="F214" s="216"/>
      <c r="G214" s="216"/>
      <c r="H214" s="216"/>
      <c r="I214" s="216"/>
      <c r="J214" s="216"/>
      <c r="K214" s="293" t="s">
        <v>247</v>
      </c>
      <c r="L214" s="294" t="s">
        <v>508</v>
      </c>
      <c r="M214" s="294" t="s">
        <v>318</v>
      </c>
      <c r="N214" s="294">
        <v>0.61599999999999999</v>
      </c>
      <c r="O214" s="295">
        <v>44000</v>
      </c>
      <c r="P214" s="216"/>
      <c r="Q214" s="216"/>
      <c r="R214" s="216"/>
      <c r="S214" s="216"/>
      <c r="T214" s="216"/>
      <c r="U214" s="216"/>
      <c r="V214" s="216"/>
      <c r="W214" s="216"/>
      <c r="X214" s="216"/>
      <c r="Y214" s="216"/>
      <c r="Z214" s="216"/>
      <c r="AA214" s="216"/>
      <c r="AB214" s="216"/>
      <c r="AC214" s="216"/>
      <c r="AD214" s="216"/>
      <c r="AE214" s="216"/>
      <c r="AF214" s="216"/>
    </row>
    <row r="215" spans="1:32">
      <c r="A215" s="216"/>
      <c r="B215" s="216"/>
      <c r="C215" s="216"/>
      <c r="D215" s="216"/>
      <c r="E215" s="216"/>
      <c r="F215" s="216"/>
      <c r="G215" s="216"/>
      <c r="H215" s="216"/>
      <c r="I215" s="216"/>
      <c r="J215" s="216"/>
      <c r="K215" s="293" t="s">
        <v>247</v>
      </c>
      <c r="L215" s="294" t="s">
        <v>509</v>
      </c>
      <c r="M215" s="294" t="s">
        <v>318</v>
      </c>
      <c r="N215" s="294">
        <v>0.46200000000000002</v>
      </c>
      <c r="O215" s="295">
        <v>86000</v>
      </c>
      <c r="P215" s="216"/>
      <c r="Q215" s="216"/>
      <c r="R215" s="216"/>
      <c r="S215" s="216"/>
      <c r="T215" s="216"/>
      <c r="U215" s="216"/>
      <c r="V215" s="216"/>
      <c r="W215" s="216"/>
      <c r="X215" s="216"/>
      <c r="Y215" s="216"/>
      <c r="Z215" s="216"/>
      <c r="AA215" s="216"/>
      <c r="AB215" s="216"/>
      <c r="AC215" s="216"/>
      <c r="AD215" s="216"/>
      <c r="AE215" s="216"/>
      <c r="AF215" s="216"/>
    </row>
    <row r="216" spans="1:32">
      <c r="A216" s="216"/>
      <c r="B216" s="216"/>
      <c r="C216" s="216"/>
      <c r="D216" s="216"/>
      <c r="E216" s="216"/>
      <c r="F216" s="216"/>
      <c r="G216" s="216"/>
      <c r="H216" s="216"/>
      <c r="I216" s="216"/>
      <c r="J216" s="216"/>
      <c r="K216" s="293" t="s">
        <v>247</v>
      </c>
      <c r="L216" s="294" t="s">
        <v>510</v>
      </c>
      <c r="M216" s="294" t="s">
        <v>328</v>
      </c>
      <c r="N216" s="294">
        <v>0.84299999999999997</v>
      </c>
      <c r="O216" s="295">
        <v>20000</v>
      </c>
      <c r="P216" s="216"/>
      <c r="Q216" s="216"/>
      <c r="R216" s="216"/>
      <c r="S216" s="216"/>
      <c r="T216" s="216"/>
      <c r="U216" s="216"/>
      <c r="V216" s="216"/>
      <c r="W216" s="216"/>
      <c r="X216" s="216"/>
      <c r="Y216" s="216"/>
      <c r="Z216" s="216"/>
      <c r="AA216" s="216"/>
      <c r="AB216" s="216"/>
      <c r="AC216" s="216"/>
      <c r="AD216" s="216"/>
      <c r="AE216" s="216"/>
      <c r="AF216" s="216"/>
    </row>
    <row r="217" spans="1:32">
      <c r="A217" s="216"/>
      <c r="B217" s="216"/>
      <c r="C217" s="216"/>
      <c r="D217" s="216"/>
      <c r="E217" s="216"/>
      <c r="F217" s="216"/>
      <c r="G217" s="216"/>
      <c r="H217" s="216"/>
      <c r="I217" s="216"/>
      <c r="J217" s="216"/>
      <c r="K217" s="293" t="s">
        <v>247</v>
      </c>
      <c r="L217" s="294" t="s">
        <v>511</v>
      </c>
      <c r="M217" s="294" t="s">
        <v>318</v>
      </c>
      <c r="N217" s="294">
        <v>0.63700000000000001</v>
      </c>
      <c r="O217" s="295">
        <v>180000</v>
      </c>
      <c r="P217" s="216"/>
      <c r="Q217" s="216"/>
      <c r="R217" s="216"/>
      <c r="S217" s="216"/>
      <c r="T217" s="216"/>
      <c r="U217" s="216"/>
      <c r="V217" s="216"/>
      <c r="W217" s="216"/>
      <c r="X217" s="216"/>
      <c r="Y217" s="216"/>
      <c r="Z217" s="216"/>
      <c r="AA217" s="216"/>
      <c r="AB217" s="216"/>
      <c r="AC217" s="216"/>
      <c r="AD217" s="216"/>
      <c r="AE217" s="216"/>
      <c r="AF217" s="216"/>
    </row>
    <row r="218" spans="1:32">
      <c r="A218" s="216"/>
      <c r="B218" s="216"/>
      <c r="C218" s="216"/>
      <c r="D218" s="216"/>
      <c r="E218" s="216"/>
      <c r="F218" s="216"/>
      <c r="G218" s="216"/>
      <c r="H218" s="216"/>
      <c r="I218" s="216"/>
      <c r="J218" s="216"/>
      <c r="K218" s="293" t="s">
        <v>97</v>
      </c>
      <c r="L218" s="294" t="s">
        <v>512</v>
      </c>
      <c r="M218" s="294" t="s">
        <v>328</v>
      </c>
      <c r="N218" s="294">
        <v>1.0189999999999999</v>
      </c>
      <c r="O218" s="295">
        <v>30000</v>
      </c>
      <c r="P218" s="216"/>
      <c r="Q218" s="216"/>
      <c r="R218" s="216"/>
      <c r="S218" s="216"/>
      <c r="T218" s="216"/>
      <c r="U218" s="216"/>
      <c r="V218" s="216"/>
      <c r="W218" s="216"/>
      <c r="X218" s="216"/>
      <c r="Y218" s="216"/>
      <c r="Z218" s="216"/>
      <c r="AA218" s="216"/>
      <c r="AB218" s="216"/>
      <c r="AC218" s="216"/>
      <c r="AD218" s="216"/>
      <c r="AE218" s="216"/>
      <c r="AF218" s="216"/>
    </row>
    <row r="219" spans="1:32">
      <c r="A219" s="216"/>
      <c r="B219" s="216"/>
      <c r="C219" s="216"/>
      <c r="D219" s="216"/>
      <c r="E219" s="216"/>
      <c r="F219" s="216"/>
      <c r="G219" s="216"/>
      <c r="H219" s="216"/>
      <c r="I219" s="216"/>
      <c r="J219" s="216"/>
      <c r="K219" s="293" t="s">
        <v>97</v>
      </c>
      <c r="L219" s="294" t="s">
        <v>513</v>
      </c>
      <c r="M219" s="294" t="s">
        <v>318</v>
      </c>
      <c r="N219" s="294">
        <v>0.68400000000000005</v>
      </c>
      <c r="O219" s="295">
        <v>95000</v>
      </c>
      <c r="P219" s="216"/>
      <c r="Q219" s="216"/>
      <c r="R219" s="216"/>
      <c r="S219" s="216"/>
      <c r="T219" s="216"/>
      <c r="U219" s="216"/>
      <c r="V219" s="216"/>
      <c r="W219" s="216"/>
      <c r="X219" s="216"/>
      <c r="Y219" s="216"/>
      <c r="Z219" s="216"/>
      <c r="AA219" s="216"/>
      <c r="AB219" s="216"/>
      <c r="AC219" s="216"/>
      <c r="AD219" s="216"/>
      <c r="AE219" s="216"/>
      <c r="AF219" s="216"/>
    </row>
    <row r="220" spans="1:32">
      <c r="A220" s="216"/>
      <c r="B220" s="216"/>
      <c r="C220" s="216"/>
      <c r="D220" s="216"/>
      <c r="E220" s="216"/>
      <c r="F220" s="216"/>
      <c r="G220" s="216"/>
      <c r="H220" s="216"/>
      <c r="I220" s="216"/>
      <c r="J220" s="216"/>
      <c r="K220" s="293" t="s">
        <v>97</v>
      </c>
      <c r="L220" s="294" t="s">
        <v>514</v>
      </c>
      <c r="M220" s="294" t="s">
        <v>318</v>
      </c>
      <c r="N220" s="294">
        <v>0.38500000000000001</v>
      </c>
      <c r="O220" s="295">
        <v>95000</v>
      </c>
      <c r="P220" s="216"/>
      <c r="Q220" s="216"/>
      <c r="R220" s="216"/>
      <c r="S220" s="216"/>
      <c r="T220" s="216"/>
      <c r="U220" s="216"/>
      <c r="V220" s="216"/>
      <c r="W220" s="216"/>
      <c r="X220" s="216"/>
      <c r="Y220" s="216"/>
      <c r="Z220" s="216"/>
      <c r="AA220" s="216"/>
      <c r="AB220" s="216"/>
      <c r="AC220" s="216"/>
      <c r="AD220" s="216"/>
      <c r="AE220" s="216"/>
      <c r="AF220" s="216"/>
    </row>
    <row r="221" spans="1:32">
      <c r="A221" s="216"/>
      <c r="B221" s="216"/>
      <c r="C221" s="216"/>
      <c r="D221" s="216"/>
      <c r="E221" s="216"/>
      <c r="F221" s="216"/>
      <c r="G221" s="216"/>
      <c r="H221" s="216"/>
      <c r="I221" s="216"/>
      <c r="J221" s="216"/>
      <c r="K221" s="293" t="s">
        <v>97</v>
      </c>
      <c r="L221" s="294" t="s">
        <v>515</v>
      </c>
      <c r="M221" s="294" t="s">
        <v>318</v>
      </c>
      <c r="N221" s="294">
        <v>0.499</v>
      </c>
      <c r="O221" s="295">
        <v>42000</v>
      </c>
      <c r="P221" s="216"/>
      <c r="Q221" s="216"/>
      <c r="R221" s="216"/>
      <c r="S221" s="216"/>
      <c r="T221" s="216"/>
      <c r="U221" s="216"/>
      <c r="V221" s="216"/>
      <c r="W221" s="216"/>
      <c r="X221" s="216"/>
      <c r="Y221" s="216"/>
      <c r="Z221" s="216"/>
      <c r="AA221" s="216"/>
      <c r="AB221" s="216"/>
      <c r="AC221" s="216"/>
      <c r="AD221" s="216"/>
      <c r="AE221" s="216"/>
      <c r="AF221" s="216"/>
    </row>
    <row r="222" spans="1:32">
      <c r="A222" s="216"/>
      <c r="B222" s="216"/>
      <c r="C222" s="216"/>
      <c r="D222" s="216"/>
      <c r="E222" s="216"/>
      <c r="F222" s="216"/>
      <c r="G222" s="216"/>
      <c r="H222" s="216"/>
      <c r="I222" s="216"/>
      <c r="J222" s="216"/>
      <c r="K222" s="293" t="s">
        <v>97</v>
      </c>
      <c r="L222" s="294" t="s">
        <v>516</v>
      </c>
      <c r="M222" s="294" t="s">
        <v>318</v>
      </c>
      <c r="N222" s="294">
        <v>0.499</v>
      </c>
      <c r="O222" s="295">
        <v>90000</v>
      </c>
      <c r="P222" s="216"/>
      <c r="Q222" s="216"/>
      <c r="R222" s="216"/>
      <c r="S222" s="216"/>
      <c r="T222" s="216"/>
      <c r="U222" s="216"/>
      <c r="V222" s="216"/>
      <c r="W222" s="216"/>
      <c r="X222" s="216"/>
      <c r="Y222" s="216"/>
      <c r="Z222" s="216"/>
      <c r="AA222" s="216"/>
      <c r="AB222" s="216"/>
      <c r="AC222" s="216"/>
      <c r="AD222" s="216"/>
      <c r="AE222" s="216"/>
      <c r="AF222" s="216"/>
    </row>
    <row r="223" spans="1:32">
      <c r="A223" s="216"/>
      <c r="B223" s="216"/>
      <c r="C223" s="216"/>
      <c r="D223" s="216"/>
      <c r="E223" s="216"/>
      <c r="F223" s="216"/>
      <c r="G223" s="216"/>
      <c r="H223" s="216"/>
      <c r="I223" s="216"/>
      <c r="J223" s="216"/>
      <c r="K223" s="293" t="s">
        <v>97</v>
      </c>
      <c r="L223" s="294" t="s">
        <v>517</v>
      </c>
      <c r="M223" s="294" t="s">
        <v>318</v>
      </c>
      <c r="N223" s="294">
        <v>0.73899999999999999</v>
      </c>
      <c r="O223" s="295">
        <v>34000</v>
      </c>
      <c r="P223" s="216"/>
      <c r="Q223" s="216"/>
      <c r="R223" s="216"/>
      <c r="S223" s="216"/>
      <c r="T223" s="216"/>
      <c r="U223" s="216"/>
      <c r="V223" s="216"/>
      <c r="W223" s="216"/>
      <c r="X223" s="216"/>
      <c r="Y223" s="216"/>
      <c r="Z223" s="216"/>
      <c r="AA223" s="216"/>
      <c r="AB223" s="216"/>
      <c r="AC223" s="216"/>
      <c r="AD223" s="216"/>
      <c r="AE223" s="216"/>
      <c r="AF223" s="216"/>
    </row>
    <row r="224" spans="1:32">
      <c r="A224" s="216"/>
      <c r="B224" s="216"/>
      <c r="C224" s="216"/>
      <c r="D224" s="216"/>
      <c r="E224" s="216"/>
      <c r="F224" s="216"/>
      <c r="G224" s="216"/>
      <c r="H224" s="216"/>
      <c r="I224" s="216"/>
      <c r="J224" s="216"/>
      <c r="K224" s="293" t="s">
        <v>97</v>
      </c>
      <c r="L224" s="294" t="s">
        <v>518</v>
      </c>
      <c r="M224" s="294" t="s">
        <v>467</v>
      </c>
      <c r="N224" s="294">
        <v>0</v>
      </c>
      <c r="O224" s="295">
        <v>1000</v>
      </c>
      <c r="P224" s="216"/>
      <c r="Q224" s="216"/>
      <c r="R224" s="216"/>
      <c r="S224" s="216"/>
      <c r="T224" s="216"/>
      <c r="U224" s="216"/>
      <c r="V224" s="216"/>
      <c r="W224" s="216"/>
      <c r="X224" s="216"/>
      <c r="Y224" s="216"/>
      <c r="Z224" s="216"/>
      <c r="AA224" s="216"/>
      <c r="AB224" s="216"/>
      <c r="AC224" s="216"/>
      <c r="AD224" s="216"/>
      <c r="AE224" s="216"/>
      <c r="AF224" s="216"/>
    </row>
    <row r="225" spans="1:32">
      <c r="A225" s="216"/>
      <c r="B225" s="216"/>
      <c r="C225" s="216"/>
      <c r="D225" s="216"/>
      <c r="E225" s="216"/>
      <c r="F225" s="216"/>
      <c r="G225" s="216"/>
      <c r="H225" s="216"/>
      <c r="I225" s="216"/>
      <c r="J225" s="216"/>
      <c r="K225" s="293" t="s">
        <v>97</v>
      </c>
      <c r="L225" s="294" t="s">
        <v>519</v>
      </c>
      <c r="M225" s="294" t="s">
        <v>318</v>
      </c>
      <c r="N225" s="294">
        <v>0.39300000000000002</v>
      </c>
      <c r="O225" s="295">
        <v>27000</v>
      </c>
      <c r="P225" s="216"/>
      <c r="Q225" s="216"/>
      <c r="R225" s="216"/>
      <c r="S225" s="216"/>
      <c r="T225" s="216"/>
      <c r="U225" s="216"/>
      <c r="V225" s="216"/>
      <c r="W225" s="216"/>
      <c r="X225" s="216"/>
      <c r="Y225" s="216"/>
      <c r="Z225" s="216"/>
      <c r="AA225" s="216"/>
      <c r="AB225" s="216"/>
      <c r="AC225" s="216"/>
      <c r="AD225" s="216"/>
      <c r="AE225" s="216"/>
      <c r="AF225" s="216"/>
    </row>
    <row r="226" spans="1:32">
      <c r="A226" s="216"/>
      <c r="B226" s="216"/>
      <c r="C226" s="216"/>
      <c r="D226" s="216"/>
      <c r="E226" s="216"/>
      <c r="F226" s="216"/>
      <c r="G226" s="216"/>
      <c r="H226" s="216"/>
      <c r="I226" s="216"/>
      <c r="J226" s="216"/>
      <c r="K226" s="306" t="s">
        <v>97</v>
      </c>
      <c r="L226" s="307" t="s">
        <v>520</v>
      </c>
      <c r="M226" s="307" t="s">
        <v>318</v>
      </c>
      <c r="N226" s="307">
        <v>0.52800000000000002</v>
      </c>
      <c r="O226" s="308">
        <v>128000</v>
      </c>
      <c r="P226" s="216"/>
      <c r="Q226" s="216"/>
      <c r="R226" s="216"/>
      <c r="S226" s="216"/>
      <c r="T226" s="216"/>
      <c r="U226" s="216"/>
      <c r="V226" s="216"/>
      <c r="W226" s="216"/>
      <c r="X226" s="216"/>
      <c r="Y226" s="216"/>
      <c r="Z226" s="216"/>
      <c r="AA226" s="216"/>
      <c r="AB226" s="216"/>
      <c r="AC226" s="216"/>
      <c r="AD226" s="216"/>
      <c r="AE226" s="216"/>
      <c r="AF226" s="216"/>
    </row>
    <row r="227" spans="1:32">
      <c r="A227" s="216"/>
      <c r="B227" s="216"/>
      <c r="C227" s="216"/>
      <c r="D227" s="216"/>
      <c r="E227" s="216"/>
      <c r="F227" s="216"/>
      <c r="G227" s="216"/>
      <c r="H227" s="216"/>
      <c r="I227" s="216"/>
      <c r="J227" s="216"/>
      <c r="K227" s="220" t="s">
        <v>521</v>
      </c>
      <c r="L227" s="216"/>
      <c r="M227" s="216"/>
      <c r="N227" s="216"/>
      <c r="O227" s="216"/>
      <c r="P227" s="216"/>
      <c r="Q227" s="216"/>
      <c r="R227" s="216"/>
      <c r="S227" s="216"/>
      <c r="T227" s="216"/>
      <c r="U227" s="216"/>
      <c r="V227" s="216"/>
      <c r="W227" s="216"/>
      <c r="X227" s="216"/>
      <c r="Y227" s="216"/>
      <c r="Z227" s="216"/>
      <c r="AA227" s="216"/>
      <c r="AB227" s="216"/>
      <c r="AC227" s="216"/>
      <c r="AD227" s="216"/>
      <c r="AE227" s="216"/>
      <c r="AF227" s="216"/>
    </row>
    <row r="228" spans="1:32">
      <c r="A228" s="216"/>
      <c r="B228" s="216"/>
      <c r="C228" s="216"/>
      <c r="D228" s="216"/>
      <c r="E228" s="216"/>
      <c r="F228" s="216"/>
      <c r="G228" s="216"/>
      <c r="H228" s="216"/>
      <c r="I228" s="216"/>
      <c r="J228" s="216"/>
      <c r="K228" s="216"/>
      <c r="L228" s="216"/>
      <c r="M228" s="216"/>
      <c r="N228" s="216"/>
      <c r="O228" s="216"/>
      <c r="P228" s="216"/>
      <c r="Q228" s="216"/>
      <c r="R228" s="216"/>
      <c r="S228" s="216"/>
      <c r="T228" s="216"/>
      <c r="U228" s="216"/>
      <c r="V228" s="216"/>
      <c r="W228" s="216"/>
      <c r="X228" s="216"/>
      <c r="Y228" s="216"/>
      <c r="Z228" s="216"/>
      <c r="AA228" s="216"/>
      <c r="AB228" s="216"/>
      <c r="AC228" s="216"/>
      <c r="AD228" s="216"/>
      <c r="AE228" s="216"/>
      <c r="AF228" s="216"/>
    </row>
    <row r="229" spans="1:32">
      <c r="A229" s="216"/>
      <c r="B229" s="216"/>
      <c r="C229" s="216"/>
      <c r="D229" s="216"/>
      <c r="E229" s="216"/>
      <c r="F229" s="216"/>
      <c r="G229" s="216"/>
      <c r="H229" s="216"/>
      <c r="I229" s="216"/>
      <c r="J229" s="216"/>
      <c r="K229" s="216"/>
      <c r="L229" s="216"/>
      <c r="M229" s="216"/>
      <c r="N229" s="216"/>
      <c r="O229" s="216"/>
      <c r="P229" s="216"/>
      <c r="Q229" s="216"/>
      <c r="R229" s="216"/>
      <c r="S229" s="216"/>
      <c r="T229" s="216"/>
      <c r="U229" s="216"/>
      <c r="V229" s="216"/>
      <c r="W229" s="216"/>
      <c r="X229" s="216"/>
      <c r="Y229" s="216"/>
      <c r="Z229" s="216"/>
      <c r="AA229" s="216"/>
      <c r="AB229" s="216"/>
      <c r="AC229" s="216"/>
      <c r="AD229" s="216"/>
      <c r="AE229" s="216"/>
      <c r="AF229" s="216"/>
    </row>
    <row r="230" spans="1:32">
      <c r="A230" s="216"/>
      <c r="B230" s="216"/>
      <c r="C230" s="216"/>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c r="AA230" s="216"/>
      <c r="AB230" s="216"/>
      <c r="AC230" s="216"/>
      <c r="AD230" s="216"/>
      <c r="AE230" s="216"/>
      <c r="AF230" s="216"/>
    </row>
    <row r="231" spans="1:32">
      <c r="A231" s="216"/>
      <c r="B231" s="216"/>
      <c r="C231" s="216"/>
      <c r="D231" s="216"/>
      <c r="E231" s="216"/>
      <c r="F231" s="216"/>
      <c r="G231" s="216"/>
      <c r="H231" s="216"/>
      <c r="I231" s="216"/>
      <c r="J231" s="216"/>
      <c r="K231" s="216"/>
      <c r="L231" s="216"/>
      <c r="M231" s="216"/>
      <c r="N231" s="216"/>
      <c r="O231" s="216"/>
      <c r="P231" s="216"/>
      <c r="Q231" s="216"/>
      <c r="R231" s="216"/>
      <c r="S231" s="216"/>
      <c r="T231" s="216"/>
      <c r="U231" s="216"/>
      <c r="V231" s="216"/>
      <c r="W231" s="216"/>
      <c r="X231" s="216"/>
      <c r="Y231" s="216"/>
      <c r="Z231" s="216"/>
      <c r="AA231" s="216"/>
      <c r="AB231" s="216"/>
      <c r="AC231" s="216"/>
      <c r="AD231" s="216"/>
      <c r="AE231" s="216"/>
      <c r="AF231" s="216"/>
    </row>
    <row r="232" spans="1:32">
      <c r="A232" s="216"/>
      <c r="B232" s="216"/>
      <c r="C232" s="216"/>
      <c r="D232" s="216"/>
      <c r="E232" s="216"/>
      <c r="F232" s="216"/>
      <c r="G232" s="216"/>
      <c r="H232" s="216"/>
      <c r="I232" s="216"/>
      <c r="J232" s="216"/>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row>
    <row r="233" spans="1:32">
      <c r="A233" s="216"/>
      <c r="B233" s="216"/>
      <c r="C233" s="216"/>
      <c r="D233" s="216"/>
      <c r="E233" s="216"/>
      <c r="F233" s="216"/>
      <c r="G233" s="216"/>
      <c r="H233" s="216"/>
      <c r="I233" s="216"/>
      <c r="J233" s="216"/>
      <c r="K233" s="216"/>
      <c r="L233" s="216"/>
      <c r="M233" s="216"/>
      <c r="N233" s="216"/>
      <c r="O233" s="216"/>
      <c r="P233" s="216"/>
      <c r="Q233" s="216"/>
      <c r="R233" s="216"/>
      <c r="S233" s="216"/>
      <c r="T233" s="216"/>
      <c r="U233" s="216"/>
      <c r="V233" s="216"/>
      <c r="W233" s="216"/>
      <c r="X233" s="216"/>
      <c r="Y233" s="216"/>
      <c r="Z233" s="216"/>
      <c r="AA233" s="216"/>
      <c r="AB233" s="216"/>
      <c r="AC233" s="216"/>
      <c r="AD233" s="216"/>
      <c r="AE233" s="216"/>
      <c r="AF233" s="216"/>
    </row>
    <row r="234" spans="1:32">
      <c r="A234" s="216"/>
      <c r="B234" s="216"/>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216"/>
    </row>
    <row r="235" spans="1:32">
      <c r="A235" s="216"/>
      <c r="B235" s="216"/>
      <c r="C235" s="216"/>
      <c r="D235" s="216"/>
      <c r="E235" s="216"/>
      <c r="F235" s="216"/>
      <c r="G235" s="216"/>
      <c r="H235" s="216"/>
      <c r="I235" s="216"/>
      <c r="J235" s="216"/>
      <c r="K235" s="216"/>
      <c r="L235" s="216"/>
      <c r="M235" s="216"/>
      <c r="N235" s="216"/>
      <c r="O235" s="216"/>
      <c r="P235" s="216"/>
      <c r="Q235" s="216"/>
      <c r="R235" s="216"/>
      <c r="S235" s="216"/>
      <c r="T235" s="216"/>
      <c r="U235" s="216"/>
      <c r="V235" s="216"/>
      <c r="W235" s="216"/>
      <c r="X235" s="216"/>
      <c r="Y235" s="216"/>
      <c r="Z235" s="216"/>
      <c r="AA235" s="216"/>
      <c r="AB235" s="216"/>
      <c r="AC235" s="216"/>
      <c r="AD235" s="216"/>
      <c r="AE235" s="216"/>
      <c r="AF235" s="216"/>
    </row>
    <row r="236" spans="1:32">
      <c r="A236" s="216"/>
      <c r="B236" s="216"/>
      <c r="C236" s="216"/>
      <c r="D236" s="216"/>
      <c r="E236" s="216"/>
      <c r="F236" s="216"/>
      <c r="G236" s="216"/>
      <c r="H236" s="216"/>
      <c r="I236" s="216"/>
      <c r="J236" s="216"/>
      <c r="K236" s="216"/>
      <c r="L236" s="216"/>
      <c r="M236" s="216"/>
      <c r="N236" s="216"/>
      <c r="O236" s="216"/>
      <c r="P236" s="216"/>
      <c r="Q236" s="216"/>
      <c r="R236" s="216"/>
      <c r="S236" s="216"/>
      <c r="T236" s="216"/>
      <c r="U236" s="216"/>
      <c r="V236" s="216"/>
      <c r="W236" s="216"/>
      <c r="X236" s="216"/>
      <c r="Y236" s="216"/>
      <c r="Z236" s="216"/>
      <c r="AA236" s="216"/>
      <c r="AB236" s="216"/>
      <c r="AC236" s="216"/>
      <c r="AD236" s="216"/>
      <c r="AE236" s="216"/>
      <c r="AF236" s="216"/>
    </row>
    <row r="237" spans="1:32">
      <c r="A237" s="216"/>
      <c r="B237" s="216"/>
      <c r="C237" s="216"/>
      <c r="D237" s="216"/>
      <c r="E237" s="216"/>
      <c r="F237" s="216"/>
      <c r="G237" s="216"/>
      <c r="H237" s="216"/>
      <c r="I237" s="216"/>
      <c r="J237" s="216"/>
      <c r="K237" s="216"/>
      <c r="L237" s="216"/>
      <c r="M237" s="216"/>
      <c r="N237" s="216"/>
      <c r="O237" s="216"/>
      <c r="P237" s="216"/>
      <c r="Q237" s="216"/>
      <c r="R237" s="216"/>
      <c r="S237" s="216"/>
      <c r="T237" s="216"/>
      <c r="U237" s="216"/>
      <c r="V237" s="216"/>
      <c r="W237" s="216"/>
      <c r="X237" s="216"/>
      <c r="Y237" s="216"/>
      <c r="Z237" s="216"/>
      <c r="AA237" s="216"/>
      <c r="AB237" s="216"/>
      <c r="AC237" s="216"/>
      <c r="AD237" s="216"/>
      <c r="AE237" s="216"/>
      <c r="AF237" s="216"/>
    </row>
    <row r="238" spans="1:32">
      <c r="A238" s="216"/>
      <c r="B238" s="216"/>
      <c r="C238" s="216"/>
      <c r="D238" s="216"/>
      <c r="E238" s="216"/>
      <c r="F238" s="216"/>
      <c r="G238" s="216"/>
      <c r="H238" s="216"/>
      <c r="I238" s="216"/>
      <c r="J238" s="216"/>
      <c r="K238" s="216"/>
      <c r="L238" s="216"/>
      <c r="M238" s="216"/>
      <c r="N238" s="216"/>
      <c r="O238" s="216"/>
      <c r="P238" s="216"/>
      <c r="Q238" s="216"/>
      <c r="R238" s="216"/>
      <c r="S238" s="216"/>
      <c r="T238" s="216"/>
      <c r="U238" s="216"/>
      <c r="V238" s="216"/>
      <c r="W238" s="216"/>
      <c r="X238" s="216"/>
      <c r="Y238" s="216"/>
      <c r="Z238" s="216"/>
      <c r="AA238" s="216"/>
      <c r="AB238" s="216"/>
      <c r="AC238" s="216"/>
      <c r="AD238" s="216"/>
      <c r="AE238" s="216"/>
      <c r="AF238" s="216"/>
    </row>
    <row r="239" spans="1:32">
      <c r="A239" s="216"/>
      <c r="B239" s="216"/>
      <c r="C239" s="216"/>
      <c r="D239" s="216"/>
      <c r="E239" s="216"/>
      <c r="F239" s="216"/>
      <c r="G239" s="216"/>
      <c r="H239" s="216"/>
      <c r="I239" s="216"/>
      <c r="J239" s="216"/>
      <c r="K239" s="216"/>
      <c r="L239" s="216"/>
      <c r="M239" s="216"/>
      <c r="N239" s="216"/>
      <c r="O239" s="216"/>
      <c r="P239" s="216"/>
      <c r="Q239" s="216"/>
      <c r="R239" s="216"/>
      <c r="S239" s="216"/>
      <c r="T239" s="216"/>
      <c r="U239" s="216"/>
      <c r="V239" s="216"/>
      <c r="W239" s="216"/>
      <c r="X239" s="216"/>
      <c r="Y239" s="216"/>
      <c r="Z239" s="216"/>
      <c r="AA239" s="216"/>
      <c r="AB239" s="216"/>
      <c r="AC239" s="216"/>
      <c r="AD239" s="216"/>
      <c r="AE239" s="216"/>
      <c r="AF239" s="216"/>
    </row>
    <row r="240" spans="1:32">
      <c r="A240" s="216"/>
      <c r="B240" s="216"/>
      <c r="C240" s="216"/>
      <c r="D240" s="216"/>
      <c r="E240" s="216"/>
      <c r="F240" s="216"/>
      <c r="G240" s="216"/>
      <c r="H240" s="216"/>
      <c r="I240" s="216"/>
      <c r="J240" s="216"/>
      <c r="K240" s="216"/>
      <c r="L240" s="216"/>
      <c r="M240" s="216"/>
      <c r="N240" s="216"/>
      <c r="O240" s="216"/>
      <c r="P240" s="216"/>
      <c r="Q240" s="216"/>
      <c r="R240" s="216"/>
      <c r="S240" s="216"/>
      <c r="T240" s="216"/>
      <c r="U240" s="216"/>
      <c r="V240" s="216"/>
      <c r="W240" s="216"/>
      <c r="X240" s="216"/>
      <c r="Y240" s="216"/>
      <c r="Z240" s="216"/>
      <c r="AA240" s="216"/>
      <c r="AB240" s="216"/>
      <c r="AC240" s="216"/>
      <c r="AD240" s="216"/>
      <c r="AE240" s="216"/>
      <c r="AF240" s="216"/>
    </row>
    <row r="241" spans="1:32">
      <c r="A241" s="216"/>
      <c r="B241" s="216"/>
      <c r="C241" s="216"/>
      <c r="D241" s="216"/>
      <c r="E241" s="216"/>
      <c r="F241" s="216"/>
      <c r="G241" s="216"/>
      <c r="H241" s="216"/>
      <c r="I241" s="216"/>
      <c r="J241" s="216"/>
      <c r="K241" s="216"/>
      <c r="L241" s="216"/>
      <c r="M241" s="216"/>
      <c r="N241" s="216"/>
      <c r="O241" s="216"/>
      <c r="P241" s="216"/>
      <c r="Q241" s="216"/>
      <c r="R241" s="216"/>
      <c r="S241" s="216"/>
      <c r="T241" s="216"/>
      <c r="U241" s="216"/>
      <c r="V241" s="216"/>
      <c r="W241" s="216"/>
      <c r="X241" s="216"/>
      <c r="Y241" s="216"/>
      <c r="Z241" s="216"/>
      <c r="AA241" s="216"/>
      <c r="AB241" s="216"/>
      <c r="AC241" s="216"/>
      <c r="AD241" s="216"/>
      <c r="AE241" s="216"/>
      <c r="AF241" s="216"/>
    </row>
    <row r="242" spans="1:32">
      <c r="A242" s="216"/>
      <c r="B242" s="216"/>
      <c r="C242" s="216"/>
      <c r="D242" s="216"/>
      <c r="E242" s="216"/>
      <c r="F242" s="216"/>
      <c r="G242" s="216"/>
      <c r="H242" s="216"/>
      <c r="I242" s="216"/>
      <c r="J242" s="216"/>
      <c r="K242" s="216"/>
      <c r="L242" s="216"/>
      <c r="M242" s="216"/>
      <c r="N242" s="216"/>
      <c r="O242" s="216"/>
      <c r="P242" s="216"/>
      <c r="Q242" s="216"/>
      <c r="R242" s="216"/>
      <c r="S242" s="216"/>
      <c r="T242" s="216"/>
      <c r="U242" s="216"/>
      <c r="V242" s="216"/>
      <c r="W242" s="216"/>
      <c r="X242" s="216"/>
      <c r="Y242" s="216"/>
      <c r="Z242" s="216"/>
      <c r="AA242" s="216"/>
      <c r="AB242" s="216"/>
      <c r="AC242" s="216"/>
      <c r="AD242" s="216"/>
      <c r="AE242" s="216"/>
      <c r="AF242" s="216"/>
    </row>
  </sheetData>
  <sheetProtection sheet="1" objects="1" scenarios="1"/>
  <pageMargins left="0.75000000000000011" right="0.75000000000000011" top="1" bottom="1" header="0.5" footer="0.5"/>
  <pageSetup paperSize="9" fitToWidth="0" fitToHeight="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Data summary</vt:lpstr>
      <vt:lpstr>Data input</vt:lpstr>
      <vt:lpstr>Enteric fermentation</vt:lpstr>
      <vt:lpstr>Manure management</vt:lpstr>
      <vt:lpstr>Nitrous Oxide_MMS</vt:lpstr>
      <vt:lpstr>Agricultural soils</vt:lpstr>
      <vt:lpstr>Liming</vt:lpstr>
      <vt:lpstr>Urea Application</vt:lpstr>
      <vt:lpstr>Electicity &amp; Diesel</vt:lpstr>
      <vt:lpstr>Transport</vt:lpstr>
      <vt:lpstr>GWP</vt:lpstr>
      <vt:lpstr>'Data input'!Print_Area</vt:lpstr>
      <vt:lpstr>'Data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Richard J Eckard</dc:creator>
  <cp:lastModifiedBy>Richard Eckard</cp:lastModifiedBy>
  <cp:lastPrinted>2011-07-06T04:40:02Z</cp:lastPrinted>
  <dcterms:created xsi:type="dcterms:W3CDTF">2001-05-18T05:48:59Z</dcterms:created>
  <dcterms:modified xsi:type="dcterms:W3CDTF">2020-04-03T00:44:05Z</dcterms:modified>
</cp:coreProperties>
</file>